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935" windowWidth="15360" windowHeight="8400" firstSheet="4" activeTab="9"/>
  </bookViews>
  <sheets>
    <sheet name="MANUT IP" sheetId="1" state="hidden" r:id="rId1"/>
    <sheet name="ANEXO I" sheetId="2" r:id="rId2"/>
    <sheet name="ANEXO II" sheetId="3" r:id="rId3"/>
    <sheet name="ANEXO III" sheetId="4" r:id="rId4"/>
    <sheet name="ANEXO IV" sheetId="5" r:id="rId5"/>
    <sheet name="ANEXO V Plan" sheetId="6" r:id="rId6"/>
    <sheet name="ANEXO VI CRON I" sheetId="7" r:id="rId7"/>
    <sheet name="ANEXO VII CRON II" sheetId="8" r:id="rId8"/>
    <sheet name="BDI" sheetId="9" r:id="rId9"/>
    <sheet name="COTAÇÃO DE MAT" sheetId="10" r:id="rId10"/>
  </sheets>
  <externalReferences>
    <externalReference r:id="rId13"/>
  </externalReferences>
  <definedNames>
    <definedName name="_xlnm.Print_Area" localSheetId="3">'ANEXO III'!$A$1:$M$65</definedName>
    <definedName name="_xlnm.Print_Area" localSheetId="4">'ANEXO IV'!$A$1:$I$41</definedName>
    <definedName name="_xlnm.Print_Area" localSheetId="8">'BDI'!$B$1:$G$61</definedName>
    <definedName name="_xlnm.Print_Area" localSheetId="0">'MANUT IP'!$A$1:$L$76</definedName>
  </definedNames>
  <calcPr fullCalcOnLoad="1"/>
</workbook>
</file>

<file path=xl/sharedStrings.xml><?xml version="1.0" encoding="utf-8"?>
<sst xmlns="http://schemas.openxmlformats.org/spreadsheetml/2006/main" count="1020" uniqueCount="574">
  <si>
    <t>Objeto:</t>
  </si>
  <si>
    <t>Início Vigência:</t>
  </si>
  <si>
    <t>Fim Vigência:</t>
  </si>
  <si>
    <t>CATEGORIA</t>
  </si>
  <si>
    <t>Prazo Contr.:</t>
  </si>
  <si>
    <t>GRUPO - A</t>
  </si>
  <si>
    <t>GRUPO - B</t>
  </si>
  <si>
    <t>GRUPO - C</t>
  </si>
  <si>
    <t>GRUPO - D</t>
  </si>
  <si>
    <t>VALOR ADICIONAL:</t>
  </si>
  <si>
    <t>Se necessário, insira no campo abaixo o valor adicional total referente às observações realizadas:</t>
  </si>
  <si>
    <t xml:space="preserve">REMUNERAÇÃO BÁSICA (R$)       </t>
  </si>
  <si>
    <t>OUTROS</t>
  </si>
  <si>
    <t>ADICIONAL NOTURNO</t>
  </si>
  <si>
    <t>HORA EXTRA</t>
  </si>
  <si>
    <t>.................................................................................................................</t>
  </si>
  <si>
    <t>DESCRIÇÃO</t>
  </si>
  <si>
    <t>PERICULO-SIDADE</t>
  </si>
  <si>
    <t>%</t>
  </si>
  <si>
    <t>01 - Despesas Administrativas</t>
  </si>
  <si>
    <t>01 - ISS</t>
  </si>
  <si>
    <t>02 - PIS</t>
  </si>
  <si>
    <t>03 - COFINS</t>
  </si>
  <si>
    <t>04 - CPMF</t>
  </si>
  <si>
    <t>05 - IR</t>
  </si>
  <si>
    <t>06 - CSLL</t>
  </si>
  <si>
    <t>TOTAL I :</t>
  </si>
  <si>
    <t>TOTAL II :</t>
  </si>
  <si>
    <t>TOTAL III:</t>
  </si>
  <si>
    <t>SUBTOTAL I (I + II + III):</t>
  </si>
  <si>
    <t>R$</t>
  </si>
  <si>
    <t>Total Funcionários</t>
  </si>
  <si>
    <t>Elaborado por:</t>
  </si>
  <si>
    <t>I - REMUNERAÇÃO DE MÃO DE OBRA</t>
  </si>
  <si>
    <t>II - REMUNERAÇÃO DE ENCARGOS SOCIAIS</t>
  </si>
  <si>
    <t>QTDE</t>
  </si>
  <si>
    <t>R$ TOTAL</t>
  </si>
  <si>
    <t>.....................................................</t>
  </si>
  <si>
    <t>III - INSUMOS, EQUIPAMENTOS E DEPRECIAÇÃO</t>
  </si>
  <si>
    <t xml:space="preserve">02 - Lucro                                                              </t>
  </si>
  <si>
    <t>V - IMPOSTOS E DEMAIS ENCARGOS</t>
  </si>
  <si>
    <t>.......................................................................................</t>
  </si>
  <si>
    <t>PREFEITURA MUNICIPAL DE CORUMBÁ</t>
  </si>
  <si>
    <t>SECRETARIA DE DESENVOLVIMENTO SUSTENTÁVEL</t>
  </si>
  <si>
    <t>Secretaria Executiva de Infra-Estrutura e Habitação</t>
  </si>
  <si>
    <t>Eng. Eletricista (Responsável Técnico)</t>
  </si>
  <si>
    <t>Eletricista Mantenedor</t>
  </si>
  <si>
    <t>Eletricista Auxiliar</t>
  </si>
  <si>
    <t>Dotação Orçamentária:</t>
  </si>
  <si>
    <t>Julho de 2007</t>
  </si>
  <si>
    <t>Junho de 2008</t>
  </si>
  <si>
    <t>12 Meses</t>
  </si>
  <si>
    <t>SUBTOTAL "A" (%)</t>
  </si>
  <si>
    <t>SUBTOTAL "B" (%)</t>
  </si>
  <si>
    <t>SUBTOTAL "C" (%)</t>
  </si>
  <si>
    <t>SUBTOTAL "D" (%)</t>
  </si>
  <si>
    <t>Qtde</t>
  </si>
  <si>
    <t>ITEM</t>
  </si>
  <si>
    <t>Vale Transporte</t>
  </si>
  <si>
    <t>IV - ADMINISTRAÇÃO/BDI</t>
  </si>
  <si>
    <t>Ferramentas de Uso Individual e Coletivo</t>
  </si>
  <si>
    <t>Uniforme Nivel 2 (Eletricistas NR10)</t>
  </si>
  <si>
    <t>Caminhonete com Escada de Centro</t>
  </si>
  <si>
    <t>Plano de Saúde em Grupo</t>
  </si>
  <si>
    <t>Outros</t>
  </si>
  <si>
    <t>Incidência dos Encargos do "Grupo A" sobre os itens do "Grupo B"</t>
  </si>
  <si>
    <t>TOTAL IV:</t>
  </si>
  <si>
    <t>TOTAL (R$)</t>
  </si>
  <si>
    <t>TOTAL V:</t>
  </si>
  <si>
    <t>SUBTOTAL I (IV + V):</t>
  </si>
  <si>
    <t>TOTAL GERAL (I + II + III + IV + V):</t>
  </si>
  <si>
    <t>Previsão R$/Mensal de Despesas com equipes de Manutenção de Ilum Pública:</t>
  </si>
  <si>
    <t>Obs.:</t>
  </si>
  <si>
    <t>17.01.25.752.104-5014</t>
  </si>
  <si>
    <t>Tesouro/ficha:</t>
  </si>
  <si>
    <t>33.90.39.00 / 13.32</t>
  </si>
  <si>
    <t>Gestor:</t>
  </si>
  <si>
    <t>Eng. Eletricista Willian Zimi O Padilha</t>
  </si>
  <si>
    <t>I - REMUNERAÇÃO DE MÃO DE OBRA (CUSTOS)</t>
  </si>
  <si>
    <t>Quantidade de US (unidades de serviço) prevista por mês:</t>
  </si>
  <si>
    <t>ANEXO I - Planilha Referência para Equipes de Eletricistas de Iluminação Pública</t>
  </si>
  <si>
    <t xml:space="preserve">Manutenção Elétrica de Sistemas de Iluminação Pública no Município de Corumbá-MS
</t>
  </si>
  <si>
    <t>TOTAL</t>
  </si>
  <si>
    <t>Outros (Tinta, acessórios, gabaritos)</t>
  </si>
  <si>
    <t>VALOR DA US (Unidade de Serviço):</t>
  </si>
  <si>
    <t>I - ATRIBUIÇÕES DO CARGO</t>
  </si>
  <si>
    <t>Planejam serviços elétricos, realizam instalação de distribuição de alta e baixa tensão. Montam e reparam instalações elétricas e equipamentos auxiliares de Iluminação Pública, Residências, estabelecimentos industriais, comerciais e de serviços. Instalam e reparam equipamentos de iluminação pública, de cenários ou palcos.</t>
  </si>
  <si>
    <t>II - COMPETÊNCIAS PESSOAIS</t>
  </si>
  <si>
    <t>III - COMPETÊNCIAS GERAIS</t>
  </si>
  <si>
    <t>IV - FORMAÇÃO/INSTRUÇÃO</t>
  </si>
  <si>
    <t>PLANILHA  DE MÃO DE OBRA</t>
  </si>
  <si>
    <t>SINAPI</t>
  </si>
  <si>
    <t>UNID</t>
  </si>
  <si>
    <t>CUSTO</t>
  </si>
  <si>
    <t>UNITÁRIO</t>
  </si>
  <si>
    <t>AJUDANTE GERAL</t>
  </si>
  <si>
    <t>h</t>
  </si>
  <si>
    <t>AJUDANTE DE ELTERICISTA</t>
  </si>
  <si>
    <t>ELETRICISTA/ INSTALADOR</t>
  </si>
  <si>
    <t>1 - Encargos Sociais</t>
  </si>
  <si>
    <t>A - Encargos Sociais Básicos</t>
  </si>
  <si>
    <t>* SENAI</t>
  </si>
  <si>
    <t>* SEBRAE</t>
  </si>
  <si>
    <t>* INCRA</t>
  </si>
  <si>
    <t xml:space="preserve">TOTAL A </t>
  </si>
  <si>
    <t>...................</t>
  </si>
  <si>
    <t>B - Encargos Sociais que recebem incidências de A</t>
  </si>
  <si>
    <t>TOTAL B</t>
  </si>
  <si>
    <t>* Feriados</t>
  </si>
  <si>
    <t>* Licença Paternidade</t>
  </si>
  <si>
    <t>* Auxilio Enfermidade</t>
  </si>
  <si>
    <t>* 13 salário</t>
  </si>
  <si>
    <t>TOTAL C</t>
  </si>
  <si>
    <t>Reincidencia A sobre B</t>
  </si>
  <si>
    <t>02   Despesas financeiras</t>
  </si>
  <si>
    <t xml:space="preserve">04 - Lucro                                                              </t>
  </si>
  <si>
    <t xml:space="preserve">03 - Riscos                                                              </t>
  </si>
  <si>
    <t xml:space="preserve">03 - Garantias                                                             </t>
  </si>
  <si>
    <t>SUB TOTAL   ( I + 2 )</t>
  </si>
  <si>
    <t>LOCAL</t>
  </si>
  <si>
    <t>Município</t>
  </si>
  <si>
    <t xml:space="preserve">Obra: </t>
  </si>
  <si>
    <t>MANUTENÇÃO DE SISTEMAS DE ILUMINAÇÃO PÚBLICA</t>
  </si>
  <si>
    <t xml:space="preserve">Local: </t>
  </si>
  <si>
    <t>UN</t>
  </si>
  <si>
    <t>QUANT.</t>
  </si>
  <si>
    <t>MATERIAL</t>
  </si>
  <si>
    <t>SERVIÇOS</t>
  </si>
  <si>
    <t>PREÇO</t>
  </si>
  <si>
    <t>Unit.</t>
  </si>
  <si>
    <t>Total</t>
  </si>
  <si>
    <t>1.0</t>
  </si>
  <si>
    <t>US</t>
  </si>
  <si>
    <t>DISCRIMINAÇÃO DOS SERVIÇOS POR (US)</t>
  </si>
  <si>
    <t>QUANT DE US</t>
  </si>
  <si>
    <t>QUANTIDADE DE SERVIÇOS</t>
  </si>
  <si>
    <t>TOTAL DE US</t>
  </si>
  <si>
    <t>PREÇO DA MÃO-DE-OBRA</t>
  </si>
  <si>
    <t>2.1</t>
  </si>
  <si>
    <t>UF</t>
  </si>
  <si>
    <t>QTDE SVÇ</t>
  </si>
  <si>
    <t>TOTAL MO R$</t>
  </si>
  <si>
    <t>TOTAL R$</t>
  </si>
  <si>
    <t>Mobilização de Mão-de-obra e equipamentos para execução ser serviços</t>
  </si>
  <si>
    <t>unid</t>
  </si>
  <si>
    <t>m</t>
  </si>
  <si>
    <t>g</t>
  </si>
  <si>
    <t>TOTAL DOS SERVIÇOS:</t>
  </si>
  <si>
    <t>b</t>
  </si>
  <si>
    <t>c</t>
  </si>
  <si>
    <t>d</t>
  </si>
  <si>
    <t>j</t>
  </si>
  <si>
    <t>l</t>
  </si>
  <si>
    <t>CRONOGRAMA FÍSICO FINANCEIRO</t>
  </si>
  <si>
    <t>ÍTEM</t>
  </si>
  <si>
    <t>1º Mês</t>
  </si>
  <si>
    <t>2º Mês</t>
  </si>
  <si>
    <t>3º Mês</t>
  </si>
  <si>
    <t>4º Mês</t>
  </si>
  <si>
    <t>5º Mês</t>
  </si>
  <si>
    <t>* Repouso Semanal Remunerado</t>
  </si>
  <si>
    <t>* Faltas Justificadas</t>
  </si>
  <si>
    <t>* Dias de Chuva</t>
  </si>
  <si>
    <t>* Auxílio Acidente de Trabalho</t>
  </si>
  <si>
    <t>* Féias gosadas</t>
  </si>
  <si>
    <t>* Salário Maternidade</t>
  </si>
  <si>
    <t>C - Encargos Sociais que não recebem incidência de A</t>
  </si>
  <si>
    <t>* Aviso Pévio Idenizado</t>
  </si>
  <si>
    <t>* Aviso Pévio Trabalhado</t>
  </si>
  <si>
    <t>* Férias Idenizadas</t>
  </si>
  <si>
    <t>* Depósito Rescisão sem Justa Causa</t>
  </si>
  <si>
    <t>* Idenização Adicional</t>
  </si>
  <si>
    <t>D - Reincidência de Um Grupo Sobre O Outro</t>
  </si>
  <si>
    <t>Reinci. A sobre Avios Prévi.Trab. e Reinci.a do FGTS sobre Aviso Prév. Iden..</t>
  </si>
  <si>
    <t>TOTAL  D</t>
  </si>
  <si>
    <t>E - Encargos Sociais Complementares</t>
  </si>
  <si>
    <t>TOTAL E</t>
  </si>
  <si>
    <t>TOTAL A + B + C + D + E</t>
  </si>
  <si>
    <t xml:space="preserve">CATEGORIA </t>
  </si>
  <si>
    <t>TOTAL DOS MATERIAIS:</t>
  </si>
  <si>
    <t>und</t>
  </si>
  <si>
    <t>n</t>
  </si>
  <si>
    <t>o</t>
  </si>
  <si>
    <t>Engenheiro Eletricista com aptdão comprovada através de atestado de capacidade técnica registrado no CREA, para acompanha-</t>
  </si>
  <si>
    <t xml:space="preserve">OBS: A empresa executora deverá obrigatoriamente apresentar comprovação da existência em seu quadro de funcionários de </t>
  </si>
  <si>
    <t>ANEXO II</t>
  </si>
  <si>
    <t>ANEXO IV - Perfil Profissional dos Técnicos de Iluminação Pública</t>
  </si>
  <si>
    <t>LEIS SOCIAIS</t>
  </si>
  <si>
    <t>ENGENHEIRO ELETRICISTA</t>
  </si>
  <si>
    <t>ANEXO III - Planilha Referência para 01 (Uma)  Equipe de Profissionai Para Execução de Serviços Manutenção de Iluminação Pública</t>
  </si>
  <si>
    <t>e</t>
  </si>
  <si>
    <t>f</t>
  </si>
  <si>
    <t>p</t>
  </si>
  <si>
    <t>q</t>
  </si>
  <si>
    <t>s</t>
  </si>
  <si>
    <t>t</t>
  </si>
  <si>
    <t>PREFEITURA MUNICIPAL DE PRIMAVERA DO LESTE - MT</t>
  </si>
  <si>
    <t xml:space="preserve"> MUNICÍPIO DE PRIMAVERA DO LESTE - MT.</t>
  </si>
  <si>
    <t xml:space="preserve">Referente :  </t>
  </si>
  <si>
    <t>Valor em R$ da Unidade de Serviço (US)</t>
  </si>
  <si>
    <t>PREÇO MATERIAL</t>
  </si>
  <si>
    <t>2.0</t>
  </si>
  <si>
    <t>SERVIÇOS DE MANUTENÇÃO PROGRAMADA</t>
  </si>
  <si>
    <t>Reparo de aparelho de Iluminação (Braço de 1 a 3m  com relé, lâmpada, base ou reator) 70W</t>
  </si>
  <si>
    <t>TOTAL DE MO</t>
  </si>
  <si>
    <t>TOTAL MAT R$</t>
  </si>
  <si>
    <t>a.</t>
  </si>
  <si>
    <t>b.</t>
  </si>
  <si>
    <t>Fornecimento e Ins. de lâmpada de descarga a alta pressão de Vapor de Sódio, 70W,Base E27</t>
  </si>
  <si>
    <t>c.</t>
  </si>
  <si>
    <t>Fornecimento e instalação de Reator para VS 70W, FP corrigido, 220V, 60Hz</t>
  </si>
  <si>
    <t>d.</t>
  </si>
  <si>
    <t>Fornecimento e instalação de Relé Foto-elétrico NF, 1000VA, 220V/60Hz, eletrônico+base</t>
  </si>
  <si>
    <t>Fornecimento e Inst. de lâmpada de descarga a alta pressão de Vapor de Sódio, 150W,Base E40</t>
  </si>
  <si>
    <t>Fornecimento e instalação de Reator para VS 150W, FP corrigido, 220V, 60Hz</t>
  </si>
  <si>
    <t>2.2</t>
  </si>
  <si>
    <t>Reparo de aparelho de Iluminação Poste Telecônico duplo (relé, lâmpada, base ou reator) 250W</t>
  </si>
  <si>
    <t>R$/UF</t>
  </si>
  <si>
    <t>Fornecimento e Inst. de lâmpada de descarga a alta pressão de Vapor de Sódio, 250W,Base E40</t>
  </si>
  <si>
    <t>Fornecimento e instalação de Reator para VS 250W, FP corrigido, 220V, 60Hz</t>
  </si>
  <si>
    <t>TOTAL MO + MAT:</t>
  </si>
  <si>
    <t>QTDE SEV/MAT</t>
  </si>
  <si>
    <t>TOTAL GERAL</t>
  </si>
  <si>
    <t>MOBILIZAÇÃO DE MÃO DE OBRA PARA IMPLATAÇÃO DE APARELHOS DE ILUMINAÇÃO PÚBLICA POR PROFISSIONAIS ESPECIALIZADOS EM BRAÇOS.</t>
  </si>
  <si>
    <t>Fornecimento  e Implantação de  Braço de ferro galvanizado com 3m de comprimento .</t>
  </si>
  <si>
    <t>Fornecimento e instalação de base para relé Foto-elétrico. (MÉDIA DE PREÇO DO COMÉRCIO)</t>
  </si>
  <si>
    <t xml:space="preserve">TOTAL DE MO </t>
  </si>
  <si>
    <t>MOBILIZAÇAÕ DE MÃO DE OBRA PARA IMPLATAÇÃO E MANUTENÇÃO DE APARELHOS DE ILUMINAÇÃO PÚBLICA POR PROFISSIONAIS ESPECIALIZADOS EM POSTES TELECÔNCIOS E CONCRETO.</t>
  </si>
  <si>
    <t xml:space="preserve">Fornecimento e Instalação de poste  de concreto circular 15/200. </t>
  </si>
  <si>
    <t>Fornecimento e Instalação  de luminária de alumínio com alojamento para equipamentos auxiliares com tampa de vidro temperado  com receptáculo de louça E40.(MÉDIA DO COMÉRCIO)</t>
  </si>
  <si>
    <t>Fornecimento e Instalação de Chave Contactora de 40Amperes  SINAP 13386</t>
  </si>
  <si>
    <t xml:space="preserve">Fornecimento e Instalação de Chave Contactora de 50Amperes </t>
  </si>
  <si>
    <t xml:space="preserve">TOTAL MAT </t>
  </si>
  <si>
    <t>2.3</t>
  </si>
  <si>
    <t>MOBILIZAÇAÕ DE MÃO DE OBRA PARA IMPLATAÇÃO E MANUTENÇÃO DE APARELHOS DE ILUMINAÇÃO PÚBLICA POR PROFISSIONAIS ESPECIALIZADOS EM DIVERSOS SERVIÇOS.</t>
  </si>
  <si>
    <t>Fornecimento e Inst. de lâmpada de descarga a alta pressão de Vapor Metálico  150W,Base E40 SINAP 12216</t>
  </si>
  <si>
    <t>Fornecimento e Inst. de lâmpada de descarga a alta pressão de Vapor Metálico  400W,Base E40  SINAP  3752</t>
  </si>
  <si>
    <t>Fornecimento e Inst. de lâmpada de descarga a alta pressão de Vapor Metálico de 2000 Sódio, 250W,Base E40</t>
  </si>
  <si>
    <t>Fornecimento e Inst. de Reator Vapor de Sódio, AFP 150W  uso interno</t>
  </si>
  <si>
    <t>Fornecimento e Inst. de Reator Vapor de Sódio, AFP 250W  uso interno</t>
  </si>
  <si>
    <t>Fornecimento e Inst. de Reator Vapor Metálico, AFP 2000W  uso externo.</t>
  </si>
  <si>
    <t>Fornecimento e Inst. de Cabo de cobre isolado 1kv 25mm SINAP  996</t>
  </si>
  <si>
    <t>Fornecimento e Inst. de Cabo de cobre isolado 1kv16mm SINAP 995</t>
  </si>
  <si>
    <t>Fornecimento e Inst. de Cabo de cobre isolado 1kv 10mm SINAP 1020</t>
  </si>
  <si>
    <t>Fornecimento e Inst. de Cabo de cobre isolado 1kv 6,0mm SINAP 994</t>
  </si>
  <si>
    <t>Fornecimento e Inst. de fio de cobre cobre isolado  2,5mm</t>
  </si>
  <si>
    <t xml:space="preserve">Fornecimento e Colocação de conector tipo parafuso fendido para cabo de 10mm  SINAP 11818 </t>
  </si>
  <si>
    <t>Fornecimento e Colocaçãode conector tipo parafuso fendido para cabo de 16mm SINAP 1539</t>
  </si>
  <si>
    <t>u</t>
  </si>
  <si>
    <t>v</t>
  </si>
  <si>
    <t>Fornecimento e instalação de conector perfurante</t>
  </si>
  <si>
    <t>x</t>
  </si>
  <si>
    <t>z</t>
  </si>
  <si>
    <t>Fita isolante auto fusão SINAP 404</t>
  </si>
  <si>
    <t>TOTAL  DOS COMPLEMENTOS</t>
  </si>
  <si>
    <t>Fl 01</t>
  </si>
  <si>
    <t xml:space="preserve">Mão de Obra </t>
  </si>
  <si>
    <t>Material</t>
  </si>
  <si>
    <t>6º Mês</t>
  </si>
  <si>
    <t>Total da Mão de Obra</t>
  </si>
  <si>
    <t>Total dos Materiais</t>
  </si>
  <si>
    <t>TOTAL DA PLANILHA</t>
  </si>
  <si>
    <t>DESEMBOLSO MENSAL</t>
  </si>
  <si>
    <t>Fl 02</t>
  </si>
  <si>
    <t>7º Mês</t>
  </si>
  <si>
    <t>8º Mês</t>
  </si>
  <si>
    <t>9º Mês</t>
  </si>
  <si>
    <t>10º Mês</t>
  </si>
  <si>
    <t>11º Mês</t>
  </si>
  <si>
    <t>12º Mês</t>
  </si>
  <si>
    <t>MOBILIZAÇAÕ DE MÃO DE OBRA PARA IMPLATAÇÃO E MANUTENÇÃO DE APARELHOS DE ILUMINAÇÃO PÚBLICA POR PROFISSIONAIS ESPECIALIZADOS EM POSTES TELECÔNCIOS.</t>
  </si>
  <si>
    <t>PRIMAVERA DO LESTE MT</t>
  </si>
  <si>
    <t>12 Mêses</t>
  </si>
  <si>
    <t xml:space="preserve"> Serviços de Mão de Obra com fornecimento de materiais na Manutenção Elétrica de Sistema de Iluminação Pública no Município de Primavera do Leste MT.
</t>
  </si>
  <si>
    <t>*SESI</t>
  </si>
  <si>
    <t>*INSS</t>
  </si>
  <si>
    <t>*Salário Educação</t>
  </si>
  <si>
    <t>*FGTS</t>
  </si>
  <si>
    <t>*SECONCE</t>
  </si>
  <si>
    <r>
      <t>OBRA:</t>
    </r>
    <r>
      <rPr>
        <sz val="11"/>
        <rFont val="Arial"/>
        <family val="2"/>
      </rPr>
      <t xml:space="preserve"> Manutenção Continuada do Sistema de Iluminação Pública </t>
    </r>
  </si>
  <si>
    <r>
      <t>OBRA:</t>
    </r>
    <r>
      <rPr>
        <sz val="11"/>
        <rFont val="Arial"/>
        <family val="2"/>
      </rPr>
      <t xml:space="preserve"> Manutenção Continuada do Sistema de Iluminação Pública.</t>
    </r>
  </si>
  <si>
    <t>LOCAL : Município sede Primavera do Leste MT.</t>
  </si>
  <si>
    <t>Primavera do Leste MT</t>
  </si>
  <si>
    <t>Manutenção Elétrica  com fornecimento de materiais no Sistema de Iluminação Pública no Município de Primavera do Leste MT.</t>
  </si>
  <si>
    <r>
      <t xml:space="preserve"> </t>
    </r>
    <r>
      <rPr>
        <b/>
        <sz val="10"/>
        <rFont val="Arial"/>
        <family val="2"/>
      </rPr>
      <t>TÉCNICOS DE EXECUÇÃO</t>
    </r>
    <r>
      <rPr>
        <sz val="10"/>
        <rFont val="Arial"/>
        <family val="2"/>
      </rPr>
      <t xml:space="preserve"> : ( </t>
    </r>
    <r>
      <rPr>
        <b/>
        <sz val="10"/>
        <rFont val="Arial"/>
        <family val="2"/>
      </rPr>
      <t>Elettricistas e Auxiliares</t>
    </r>
    <r>
      <rPr>
        <sz val="10"/>
        <rFont val="Arial"/>
        <family val="2"/>
      </rPr>
      <t xml:space="preserve"> ) Utilizar equipamentos de segurança; Demonstrar atenção na execução do serviço; Comunicar-se com os colegas; Demonstrar capacidade de enfrentar situações de emergência; Aplicar procedimentos de primeiros-socorros; Utilizar informática básica; Demonstrar condicionamento físico para executar a função; Demonstrar organização; Demonstrar iniciativa para executar o serviço; Seguir normas de segurança; Diferenciar cores. </t>
    </r>
    <r>
      <rPr>
        <b/>
        <sz val="10"/>
        <rFont val="Arial"/>
        <family val="2"/>
      </rPr>
      <t>TÉCNICOS DE FISCALIZAÇÃO, EXECUÇÃO E ACOMPANHAMENTO</t>
    </r>
    <r>
      <rPr>
        <sz val="10"/>
        <rFont val="Arial"/>
        <family val="2"/>
      </rPr>
      <t xml:space="preserve"> : </t>
    </r>
    <r>
      <rPr>
        <b/>
        <sz val="10"/>
        <rFont val="Arial"/>
        <family val="2"/>
      </rPr>
      <t>Engenheiro Eletricista</t>
    </r>
    <r>
      <rPr>
        <sz val="10"/>
        <rFont val="Arial"/>
        <family val="2"/>
      </rPr>
      <t xml:space="preserve"> - Analisar, Acompanhar, Orientar e Fiscalizar os trabalhos ligados diretamente a sua área de atuação. </t>
    </r>
    <r>
      <rPr>
        <b/>
        <sz val="10"/>
        <rFont val="Arial"/>
        <family val="2"/>
      </rPr>
      <t>Técnico de Segurança do Trabalho</t>
    </r>
    <r>
      <rPr>
        <sz val="10"/>
        <rFont val="Arial"/>
        <family val="2"/>
      </rPr>
      <t xml:space="preserve"> - Fiscalizar o cumprimento das diretrizes relacionadas a condução dos trabalhos com segurança e a fiscalização da utilização dos equipamentos de EPI afim de se evitar acidentes por ocasião da execução dos serviços.</t>
    </r>
  </si>
  <si>
    <t>Secretaria de Obras e Serviços Urbanos</t>
  </si>
  <si>
    <t>BASE : SINAP /12/2018</t>
  </si>
  <si>
    <t>* Seguro Contra Acidentes de Trabalho</t>
  </si>
  <si>
    <t>Base - SINAP                                                           Vigência a partir de 10/2018</t>
  </si>
  <si>
    <t>03.01.2019</t>
  </si>
  <si>
    <t>SINAP</t>
  </si>
  <si>
    <t xml:space="preserve"> VALOR C/ PERICULOSIDADE</t>
  </si>
  <si>
    <t>Egenheiro Eletricista (16,0 h semanais)</t>
  </si>
  <si>
    <t>Caminhão Guindauto c/ equipamentos</t>
  </si>
  <si>
    <t>VALOR CORRIGIDO PELA FÓRMULA</t>
  </si>
  <si>
    <t>Eletricista Mantenedor (40 h semana)</t>
  </si>
  <si>
    <t>Eletricista Auxiliar (40 h/ semana)</t>
  </si>
  <si>
    <t>Obs.: Para calcular os slários utilizou-se a tabela de profissional/hora . 8 horas trabalhadas por dia de segunda a sexta feira  mais 4 horas  no sábado perfazendo 44 horas semanais  para o caso do Eletricista e do Auxiliar e para o Engenheiro Eletricissta um total de 08 horas semanais. Valor de Referência  Conforme Boletim Sinap DE 12/2018</t>
  </si>
  <si>
    <t>Maeço de 2014</t>
  </si>
  <si>
    <r>
      <t xml:space="preserve">Para o exercício dessas ocupações  de </t>
    </r>
    <r>
      <rPr>
        <b/>
        <sz val="10"/>
        <rFont val="Arial"/>
        <family val="2"/>
      </rPr>
      <t>Eletricista e Eletrista Auxiliar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requer-se  qualificação básica de Eletricista de instalações e Eletricista de instalações de edifícios. Comprovação de Curso sobre a NR 10 e o  desempenho pleno das atividades  atingido entre um e dois anos de prática e que a equipe já disponha de equipamentos, ferramentas e uniformes  próprios para execução dos serviços elencados.Para o </t>
    </r>
    <r>
      <rPr>
        <b/>
        <sz val="10"/>
        <rFont val="Arial"/>
        <family val="2"/>
      </rPr>
      <t xml:space="preserve">Engenheiro Eletricista   </t>
    </r>
    <r>
      <rPr>
        <sz val="10"/>
        <rFont val="Arial"/>
        <family val="2"/>
      </rPr>
      <t>comprovação de fazer parte do quadro de funcionários da Empresa executora  através de da Certidão emitida pelo CREA , Carteira de Trabalho ou Contrato específico .</t>
    </r>
  </si>
  <si>
    <t xml:space="preserve">mento , fiscalização e execução de obras e/ou serviços equivalentesou superiores  aos apresentados na planilha de custos. </t>
  </si>
  <si>
    <t>com formação comprovada para acompanhamento e fiscalização das obrigações refertentes à sua área de atuação.</t>
  </si>
  <si>
    <t>Fornecimento e Inst. de lâmpada de descarga a alta pressão de Vapor de Metálico, 250W,Base E40</t>
  </si>
  <si>
    <t>Fornecimento e instalação de Reator para vapor metálico 250W,AFP corrigido, 220V, 60Hz</t>
  </si>
  <si>
    <t>Fornecimento e Inst. de lâmpada de descarga a alta pressão de Vapor de Sódio, 400W,Base E40</t>
  </si>
  <si>
    <t>Fornecimento e Inst. de lâmpada de descarga a alta pressão de Vapor de Metálico, 400W,Base E40</t>
  </si>
  <si>
    <t>Fornecimento e instalação de Reator para VS 400W, AFP corrigido, 220V, 60Hz</t>
  </si>
  <si>
    <t>Fornecimento e instalação de Reator para vapor metálico 400W,AFP corrigido, 220V, 60Hz</t>
  </si>
  <si>
    <t xml:space="preserve">Reparo de aparelho de Iluminação, Super Postes de Concreto com 15m de altura  em Avenidas </t>
  </si>
  <si>
    <t>Fornecimento e Instalação  de luminária de LED   40 W , ( com características similares as existentes )  para reposição em locais  já contemplados.</t>
  </si>
  <si>
    <t>Fornecimento e Instalação  de luminária de LED  100 W , ( com características similares as existentes )  para reposição em locais  já contemplados.</t>
  </si>
  <si>
    <t>Fornecimento e Instalação  de luminária de LED  150 W , ( com características similares as existentes )  para reposição em locais  já contemplados.</t>
  </si>
  <si>
    <t>Fornecimento de Padrão Trifásico com proteção de  45A a 6OA</t>
  </si>
  <si>
    <t xml:space="preserve">Fornecimento de  Transformador Trifásico de 30KWA/15KV   </t>
  </si>
  <si>
    <t xml:space="preserve">Fornecimento de  Transformador Trifásico de  45KWA/15KV  </t>
  </si>
  <si>
    <t xml:space="preserve">Fornecimento de  Transformador Trifásico de  75KWA/15KV  </t>
  </si>
  <si>
    <t xml:space="preserve">Fornecimento de Parafuso Rosca tipo máquina 150mm x 16mm  </t>
  </si>
  <si>
    <t xml:space="preserve">Fornecimento de Parafuso Rosca tipo máquina 200mm x 16mm  </t>
  </si>
  <si>
    <t xml:space="preserve">Fornecimento de Parafuso Rosca tipo máquina 250mm x 16mm </t>
  </si>
  <si>
    <t xml:space="preserve">Formecimento de arruela quadrada em aco galvanizado, dimensão = 38mm, espessura  = 3mm, diãmetro do furo 18mm  </t>
  </si>
  <si>
    <t xml:space="preserve">Fornecimento de chave fusível de distribuição 15,0kv/ 100A  </t>
  </si>
  <si>
    <t>Fornecimento e Inst. de Reator Vapor Metálico AFP 400W  uso interno</t>
  </si>
  <si>
    <t>Fornecimento e Inst. de Cabo de cobre isolado 1kv 50mm SINAP  996</t>
  </si>
  <si>
    <t>Fornecimento e Inst. de Cabo de cobre isolado 1kv 35mm SINAP  996</t>
  </si>
  <si>
    <t>Fornecimento e Inst. de Cabo de cobre isolado 1kv 4,0mm SNAP 1021</t>
  </si>
  <si>
    <t>Fonecimento e implantação de poste DT  11/200 KGF</t>
  </si>
  <si>
    <t>Fonecimento e implantação de poste DT  11/600 KGF</t>
  </si>
  <si>
    <t>Fonecimento e implantação de poste DT  11/300 KGF</t>
  </si>
  <si>
    <t>Quadro de Comando 100A</t>
  </si>
  <si>
    <t xml:space="preserve">Vencimento : </t>
  </si>
  <si>
    <t>SINAP 3752</t>
  </si>
  <si>
    <t>Fornecimento e Inst. de Reator Vapor Metálico, AFP 150W  uso interno</t>
  </si>
  <si>
    <t>Fornecimento e Inst. de Reator Vapor Metálico, AFP 250W  uso interno</t>
  </si>
  <si>
    <t>SINAP 72282</t>
  </si>
  <si>
    <t>SINAP 73831/008</t>
  </si>
  <si>
    <t>SINAP 73831/007</t>
  </si>
  <si>
    <t>Fornecimento e instalação de braço  curto (2,20m) com luminária de alumínio comum aberta com receptáculo de louça para lâmpada até 400w.</t>
  </si>
  <si>
    <t>SINAP 74241/01</t>
  </si>
  <si>
    <t>SINAP 83399</t>
  </si>
  <si>
    <t>Fornecimento e Instalação de poste  de ferro galvanizado  com 9,0m de altura do tipo telecônico duplo. SINAP 14163</t>
  </si>
  <si>
    <t>Fornecimento e Instalação de poste  de ferro galvanizado  com 9,0m de altura do tipo telecônico reto. SINAP 14163</t>
  </si>
  <si>
    <t xml:space="preserve">Fornecimento e Instalação de poste  de ferro galvanizado  com 9,0m de altura do tipo telecônico simples. </t>
  </si>
  <si>
    <t>SINAP 73769/3</t>
  </si>
  <si>
    <t>SINAP 73769/1</t>
  </si>
  <si>
    <t>SINAP 73769/4</t>
  </si>
  <si>
    <t>SINAP  97614</t>
  </si>
  <si>
    <t>Fornecimento e Inst. de Cabo de cobre isolado 1kv 95mm SINAP  996</t>
  </si>
  <si>
    <t>SINAP 92992</t>
  </si>
  <si>
    <t>Fornecimento e Inst. de Cabo de cobre isolado 1kv 70mm SINAP  996</t>
  </si>
  <si>
    <t>SINAP 92990</t>
  </si>
  <si>
    <t>SINAP 92988</t>
  </si>
  <si>
    <t>SINAP  92986</t>
  </si>
  <si>
    <t>SINAP 92984</t>
  </si>
  <si>
    <t>SINAP 92982</t>
  </si>
  <si>
    <t>SINAP 92980</t>
  </si>
  <si>
    <t>SINAP 91931</t>
  </si>
  <si>
    <t>SINAP 919129</t>
  </si>
  <si>
    <t>SINAP  91927</t>
  </si>
  <si>
    <t xml:space="preserve">Fornecimento e colocação de eletroduto PVC  corrugado com fio guia de 2". </t>
  </si>
  <si>
    <t>SINAP  73798/01</t>
  </si>
  <si>
    <t>SINAP 83446</t>
  </si>
  <si>
    <t xml:space="preserve">Fornecimento e colocação de caixa de passagem  de concreto pre moldada com tampa  de 0,30 x 03,0 x 040 </t>
  </si>
  <si>
    <t>SINAP 83402</t>
  </si>
  <si>
    <t>Fornecimento de Cinta Circular  de 180mm  a 250 , para fixação de braços de luminárias</t>
  </si>
  <si>
    <t xml:space="preserve">Fornecimento e Colocaçãode conector tipo parafuso fendido ou terminal de pressão  para cabo de 25mm.  </t>
  </si>
  <si>
    <t>SINAP 72264</t>
  </si>
  <si>
    <t>SINAP 72265</t>
  </si>
  <si>
    <t xml:space="preserve">Fornecimento e Colocaçãode conector ou terminal  para cabo de 95mm. </t>
  </si>
  <si>
    <t xml:space="preserve">Fornecimento e Colocação de conector ou terminal para cabo de 70mm </t>
  </si>
  <si>
    <t xml:space="preserve">Fornecimento e Colocação de conector  ou terminal  para  cabo de 50mm  </t>
  </si>
  <si>
    <t>SINAP  72263</t>
  </si>
  <si>
    <t xml:space="preserve">Fornecimento e Colocação de conector ou terminal para cabo de 35mm  </t>
  </si>
  <si>
    <t>SINAP 72261</t>
  </si>
  <si>
    <t>SINAP 72262</t>
  </si>
  <si>
    <t>SINAP 72260</t>
  </si>
  <si>
    <t>SINAP  73780/1</t>
  </si>
  <si>
    <t>UND</t>
  </si>
  <si>
    <t>QUANT</t>
  </si>
  <si>
    <t>SINAP 73857/7</t>
  </si>
  <si>
    <t>SINAP 73857/8</t>
  </si>
  <si>
    <t>SINAP 73857/1</t>
  </si>
  <si>
    <t>SINAP  72259</t>
  </si>
  <si>
    <t>FORNECEDOR  1</t>
  </si>
  <si>
    <t>PREÇO  MÉDIO</t>
  </si>
  <si>
    <t>VALOR</t>
  </si>
  <si>
    <t>FORNECEDOR  2</t>
  </si>
  <si>
    <t>FORNECEDOR  3</t>
  </si>
  <si>
    <t xml:space="preserve">Lâmpada Tubular de descarga a alta pressão de Vapor de Sódio, 70W,Base E27  </t>
  </si>
  <si>
    <t xml:space="preserve">UN </t>
  </si>
  <si>
    <t>AMERICANAS</t>
  </si>
  <si>
    <t>AVANT</t>
  </si>
  <si>
    <t>DEMAPE</t>
  </si>
  <si>
    <t xml:space="preserve">Lâmpada Tubular de descarga a alta pressão de Vapor de Metálico, 250W, Base E40 </t>
  </si>
  <si>
    <t>CONTRAFO</t>
  </si>
  <si>
    <t>Lâmpada de descarga a alta pressão de Vapor Metálico  400W, Base E40</t>
  </si>
  <si>
    <t>ELETRORASTRO</t>
  </si>
  <si>
    <t>PETEL</t>
  </si>
  <si>
    <t>Reator para VS 70W, FP corrigido, 220V, 60Hz - EXTERNO</t>
  </si>
  <si>
    <t xml:space="preserve">Reator para VS 150W, FP corrigido, 220V, 60Hz  EXTERNO </t>
  </si>
  <si>
    <t>Reator para vapor metálico 250W,AFP corrigido, 220V, 60Hz EXTERNO</t>
  </si>
  <si>
    <t xml:space="preserve">Reator para VS 400W, AFP corrigido, 220V, 60Hz EXTERNO </t>
  </si>
  <si>
    <t>Reator para vapor metálico 400W,AFP corrigido, 220V, 60Hz EXTERNO</t>
  </si>
  <si>
    <t>INDUSPAR</t>
  </si>
  <si>
    <t>Braço de ferro galvanizado com 48mm X 3m de comprimento .</t>
  </si>
  <si>
    <t>MERCADO LIVRE</t>
  </si>
  <si>
    <t>COM. MATERIAIS G e C ILUMINI</t>
  </si>
  <si>
    <t>Base para relé Foto-elétrico. EXATRON</t>
  </si>
  <si>
    <t xml:space="preserve">Poste  de concreto circular 15/200 KGF. </t>
  </si>
  <si>
    <t>MATPAR</t>
  </si>
  <si>
    <t>CIBE (PRIMAVERA)</t>
  </si>
  <si>
    <t>CONCRENORT</t>
  </si>
  <si>
    <t>Poste concreto DT  11/200 KGF</t>
  </si>
  <si>
    <t>CONCRELEI</t>
  </si>
  <si>
    <t>Poste concreto DT  11/300 KGF</t>
  </si>
  <si>
    <t>Poste concreto DT  11/600 KGF</t>
  </si>
  <si>
    <t>Luminária de alumínio com alojamento para equipamentos auxiliares com tampa de vidro temperado  com receptáculo de louça E40</t>
  </si>
  <si>
    <t>ELETRICA ZAN</t>
  </si>
  <si>
    <t xml:space="preserve">Luminária de LED   40 W </t>
  </si>
  <si>
    <t>FORTLIGHT</t>
  </si>
  <si>
    <t>ILUMATIC</t>
  </si>
  <si>
    <t>Luminária de LED  100 W</t>
  </si>
  <si>
    <t>Luminária de LED  150 W</t>
  </si>
  <si>
    <t>Chave Contactora de 40A (TIWA)</t>
  </si>
  <si>
    <t>Chave Contactora de 50A (TIWA)</t>
  </si>
  <si>
    <t>Reator Vapor de Sódio, AFP 150W  uso Interno</t>
  </si>
  <si>
    <t>Reator Vapor Metálico, AFP 150W  uso Interno</t>
  </si>
  <si>
    <t>Reator Vapor de Sódio, AFP 250W  uso Interno</t>
  </si>
  <si>
    <t>Reator Vapor Metálico, AFP 250W  uso Interno</t>
  </si>
  <si>
    <t>Reator Vapor Metálico AFP 400W  uso Interno</t>
  </si>
  <si>
    <t>Reator Vapor Metálico, AFP 2000W  uso Externo.</t>
  </si>
  <si>
    <t>Padrão Trifásico com proteção de  45A a 6OA</t>
  </si>
  <si>
    <t>Conector Perfurante CDP-70</t>
  </si>
  <si>
    <t>INTELLI</t>
  </si>
  <si>
    <t>Fita isolante comum rolo de 20m</t>
  </si>
  <si>
    <t>WURTH</t>
  </si>
  <si>
    <t>Fita isolante auto fusão (19mm X 5m)</t>
  </si>
  <si>
    <t>CÓDIGO</t>
  </si>
  <si>
    <t>2.1  b</t>
  </si>
  <si>
    <t>2.1 c</t>
  </si>
  <si>
    <t>COTAÇÃO</t>
  </si>
  <si>
    <t>2.1 f</t>
  </si>
  <si>
    <t>2.2   c</t>
  </si>
  <si>
    <t>2.2 e</t>
  </si>
  <si>
    <t>2.3 e</t>
  </si>
  <si>
    <t>2.3 f</t>
  </si>
  <si>
    <t>3.0</t>
  </si>
  <si>
    <t>3.1</t>
  </si>
  <si>
    <t>3.1 a</t>
  </si>
  <si>
    <t>3.1  b</t>
  </si>
  <si>
    <t>3.2</t>
  </si>
  <si>
    <t>3.2  e</t>
  </si>
  <si>
    <t>i</t>
  </si>
  <si>
    <t>3.2  f</t>
  </si>
  <si>
    <t>3.2 g</t>
  </si>
  <si>
    <t>3.2  H</t>
  </si>
  <si>
    <t>3.2  i</t>
  </si>
  <si>
    <t>3.2  j</t>
  </si>
  <si>
    <t>k</t>
  </si>
  <si>
    <t>3.2. k</t>
  </si>
  <si>
    <t>3.2.l</t>
  </si>
  <si>
    <t>3.2 m</t>
  </si>
  <si>
    <t>3.2 n</t>
  </si>
  <si>
    <t>3.3</t>
  </si>
  <si>
    <t xml:space="preserve">Fornecimento e Inst. de lâmpada de descarga a alta pressão de Vapor Metálico  250W,Base E40  </t>
  </si>
  <si>
    <t>3.3 e</t>
  </si>
  <si>
    <t>r</t>
  </si>
  <si>
    <t>y</t>
  </si>
  <si>
    <t>w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</si>
  <si>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</si>
  <si>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</si>
  <si>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</si>
  <si>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</si>
  <si>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</si>
  <si>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</si>
  <si>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</si>
  <si>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</si>
  <si>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</si>
  <si>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</si>
  <si>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</si>
  <si>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</si>
  <si>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</si>
  <si>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z15</t>
  </si>
  <si>
    <t>z17</t>
  </si>
  <si>
    <t>z18</t>
  </si>
  <si>
    <t>z19</t>
  </si>
  <si>
    <t>3.3 f</t>
  </si>
  <si>
    <t>3.3. g</t>
  </si>
  <si>
    <t>3.3 h</t>
  </si>
  <si>
    <t>3.3 i</t>
  </si>
  <si>
    <t>3.3 j</t>
  </si>
  <si>
    <t>441  INSUMOS</t>
  </si>
  <si>
    <t>431  INSUMOS</t>
  </si>
  <si>
    <t>432  INSUMO</t>
  </si>
  <si>
    <t>379  INSUMO</t>
  </si>
  <si>
    <t>39761  INSUMO</t>
  </si>
  <si>
    <t>3.3 W</t>
  </si>
  <si>
    <t>Z 17</t>
  </si>
  <si>
    <t>20111 INSUMO</t>
  </si>
  <si>
    <t xml:space="preserve">Fita isolante comum rolo de 20m </t>
  </si>
  <si>
    <t>404  INSUMO</t>
  </si>
  <si>
    <t>TOTAL DOS SERVIÇOS:  COM  BDI</t>
  </si>
  <si>
    <t>TOTAL DOS MATERIAIS SEM BDI</t>
  </si>
  <si>
    <t xml:space="preserve">TOTAL DOS MATERIAIS COM BDI </t>
  </si>
  <si>
    <t xml:space="preserve"> COTAÇÃO DE PREÇOS DE MATERIAIS</t>
  </si>
  <si>
    <t>MATERIAS SEM BDI</t>
  </si>
  <si>
    <t>SINAP 73831/09</t>
  </si>
  <si>
    <t>Lâmpada Vapor Metálico 2.000 Watts</t>
  </si>
  <si>
    <t>POLO</t>
  </si>
  <si>
    <t>ELÉTRICA ZAN</t>
  </si>
  <si>
    <t>Risco</t>
  </si>
  <si>
    <t>PIS</t>
  </si>
  <si>
    <r>
      <t xml:space="preserve">VERIFICAÇÃO DO BDI - ACÓRDÃO 2.622/2013      </t>
    </r>
    <r>
      <rPr>
        <b/>
        <sz val="10"/>
        <rFont val="Times New Roman"/>
        <family val="1"/>
      </rPr>
      <t xml:space="preserve"> Rev 02</t>
    </r>
  </si>
  <si>
    <t>DADOS INICIAIS</t>
  </si>
  <si>
    <t>TIPO DE OBRA:</t>
  </si>
  <si>
    <t>Construção e Manutenção de Estações e Redes de Distribuição de Energia Elétrica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</si>
  <si>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</si>
  <si>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</si>
  <si>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</si>
  <si>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</si>
  <si>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</si>
  <si>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</si>
  <si>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</si>
  <si>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</si>
  <si>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</si>
  <si>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</si>
  <si>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</si>
  <si>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</si>
  <si>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</si>
  <si>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</si>
  <si>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</si>
  <si>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</si>
  <si>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</si>
  <si>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</si>
  <si>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</si>
  <si>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</si>
  <si>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</si>
  <si>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</si>
  <si>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</si>
  <si>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</si>
  <si>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</si>
  <si>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</si>
  <si>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</si>
  <si>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</si>
  <si>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</si>
  <si>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</si>
  <si>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</si>
  <si>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</si>
  <si>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</si>
  <si>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</si>
  <si>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</si>
  <si>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</si>
  <si>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</si>
  <si>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</si>
  <si>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</si>
  <si>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</si>
  <si>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</si>
  <si>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</si>
  <si>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</si>
  <si>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</si>
  <si>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</si>
  <si>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</si>
  <si>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</si>
  <si>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</si>
  <si>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</si>
  <si>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</si>
  <si>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</si>
  <si>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</si>
  <si>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</si>
  <si>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</si>
  <si>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 xml:space="preserve">    OBRA  : MANUTENÇÃO DE SISTEMAS DE ILUMINAÇÃO PÚBLICA</t>
  </si>
  <si>
    <t xml:space="preserve">      LOCAL :  MUNICÍPIO  SEDE DE PRIMAVERA DO LESTE - MT.</t>
  </si>
  <si>
    <t>Wagner Wesley B. Silva</t>
  </si>
  <si>
    <t xml:space="preserve">Engº Eletricista </t>
  </si>
  <si>
    <t>CREA 9285ND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</si>
</sst>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 &quot;#,##0.00"/>
    <numFmt numFmtId="185" formatCode="d/m"/>
    <numFmt numFmtId="186" formatCode="0.0"/>
    <numFmt numFmtId="187" formatCode="&quot;R$ &quot;#,##0.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[$USD]\ #,##0.00"/>
    <numFmt numFmtId="193" formatCode="d\ &quot;DD&quot;"/>
    <numFmt numFmtId="194" formatCode="_(* #,##0_);_(* \(#,##0\);_(* &quot;-&quot;??_);_(@_)"/>
    <numFmt numFmtId="195" formatCode="[$-416]dddd\,\ d&quot; de &quot;mmmm&quot; de &quot;yyyy"/>
    <numFmt numFmtId="196" formatCode="_(* #,##0.000_);_(* \(#,##0.000\);_(* &quot;-&quot;??_);_(@_)"/>
    <numFmt numFmtId="197" formatCode="#,##0.000"/>
    <numFmt numFmtId="198" formatCode="#,##0.0000"/>
    <numFmt numFmtId="199" formatCode="&quot;R$ &quot;#,##0.0"/>
    <numFmt numFmtId="200" formatCode="_(* #,##0.0000_);_(* \(#,##0.0000\);_(* &quot;-&quot;??_);_(@_)"/>
    <numFmt numFmtId="201" formatCode="mmmm/yyyy"/>
    <numFmt numFmtId="202" formatCode="0.0%"/>
    <numFmt numFmtId="203" formatCode="#,##0.00_ ;\-#,##0.00\ "/>
    <numFmt numFmtId="204" formatCode="0.000%"/>
  </numFmts>
  <fonts count="8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rgb="FF1C1C1A"/>
      <name val="Arial"/>
      <family val="2"/>
    </font>
    <font>
      <sz val="10"/>
      <color rgb="FF232323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</cellStyleXfs>
  <cellXfs count="1047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86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184" fontId="10" fillId="0" borderId="0" xfId="0" applyNumberFormat="1" applyFont="1" applyFill="1" applyBorder="1" applyAlignment="1" applyProtection="1">
      <alignment horizontal="center" vertical="center" wrapText="1"/>
      <protection/>
    </xf>
    <xf numFmtId="184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10" fillId="0" borderId="12" xfId="47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176" fontId="3" fillId="0" borderId="12" xfId="47" applyFont="1" applyFill="1" applyBorder="1" applyAlignment="1" applyProtection="1">
      <alignment horizontal="right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76" fontId="4" fillId="0" borderId="13" xfId="47" applyFont="1" applyFill="1" applyBorder="1" applyAlignment="1" applyProtection="1">
      <alignment horizontal="center" vertical="center" wrapText="1"/>
      <protection/>
    </xf>
    <xf numFmtId="176" fontId="4" fillId="0" borderId="14" xfId="47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47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47" applyFont="1" applyFill="1" applyBorder="1" applyAlignment="1" applyProtection="1">
      <alignment horizontal="right" vertical="center" wrapText="1"/>
      <protection/>
    </xf>
    <xf numFmtId="176" fontId="4" fillId="0" borderId="13" xfId="47" applyFont="1" applyFill="1" applyBorder="1" applyAlignment="1" applyProtection="1">
      <alignment horizontal="right" vertical="center" wrapText="1"/>
      <protection/>
    </xf>
    <xf numFmtId="176" fontId="4" fillId="0" borderId="14" xfId="47" applyFont="1" applyFill="1" applyBorder="1" applyAlignment="1" applyProtection="1">
      <alignment horizontal="right" vertical="center" wrapText="1"/>
      <protection/>
    </xf>
    <xf numFmtId="176" fontId="4" fillId="0" borderId="15" xfId="47" applyFont="1" applyFill="1" applyBorder="1" applyAlignment="1" applyProtection="1">
      <alignment horizontal="right" vertical="center" wrapText="1"/>
      <protection/>
    </xf>
    <xf numFmtId="176" fontId="4" fillId="0" borderId="12" xfId="47" applyFont="1" applyFill="1" applyBorder="1" applyAlignment="1" applyProtection="1">
      <alignment vertical="center"/>
      <protection/>
    </xf>
    <xf numFmtId="10" fontId="4" fillId="0" borderId="0" xfId="0" applyNumberFormat="1" applyFont="1" applyFill="1" applyBorder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10" fontId="4" fillId="0" borderId="13" xfId="0" applyNumberFormat="1" applyFont="1" applyFill="1" applyBorder="1" applyAlignment="1" applyProtection="1">
      <alignment horizontal="center" vertical="center"/>
      <protection locked="0"/>
    </xf>
    <xf numFmtId="10" fontId="4" fillId="0" borderId="14" xfId="0" applyNumberFormat="1" applyFont="1" applyFill="1" applyBorder="1" applyAlignment="1" applyProtection="1">
      <alignment horizontal="center" vertical="center"/>
      <protection locked="0"/>
    </xf>
    <xf numFmtId="10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47" applyFont="1" applyFill="1" applyBorder="1" applyAlignment="1" applyProtection="1">
      <alignment vertical="center"/>
      <protection/>
    </xf>
    <xf numFmtId="176" fontId="4" fillId="0" borderId="14" xfId="47" applyFont="1" applyFill="1" applyBorder="1" applyAlignment="1" applyProtection="1">
      <alignment vertical="center"/>
      <protection/>
    </xf>
    <xf numFmtId="176" fontId="4" fillId="0" borderId="16" xfId="47" applyFont="1" applyFill="1" applyBorder="1" applyAlignment="1" applyProtection="1">
      <alignment vertical="center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7" xfId="0" applyNumberFormat="1" applyFont="1" applyFill="1" applyBorder="1" applyAlignment="1" applyProtection="1">
      <alignment horizontal="center" vertical="center" wrapText="1"/>
      <protection/>
    </xf>
    <xf numFmtId="18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84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19" xfId="0" applyNumberFormat="1" applyFont="1" applyFill="1" applyBorder="1" applyAlignment="1" applyProtection="1">
      <alignment horizontal="center" vertical="center"/>
      <protection/>
    </xf>
    <xf numFmtId="4" fontId="4" fillId="33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0" fontId="4" fillId="33" borderId="12" xfId="0" applyNumberFormat="1" applyFont="1" applyFill="1" applyBorder="1" applyAlignment="1" applyProtection="1">
      <alignment horizontal="center" vertical="center"/>
      <protection locked="0"/>
    </xf>
    <xf numFmtId="184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176" fontId="10" fillId="0" borderId="12" xfId="47" applyFont="1" applyFill="1" applyBorder="1" applyAlignment="1" applyProtection="1">
      <alignment horizontal="center" vertical="center" wrapText="1"/>
      <protection/>
    </xf>
    <xf numFmtId="1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6" fillId="0" borderId="0" xfId="0" applyNumberFormat="1" applyFont="1" applyAlignment="1" applyProtection="1">
      <alignment/>
      <protection/>
    </xf>
    <xf numFmtId="0" fontId="5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19" fillId="0" borderId="0" xfId="0" applyFont="1" applyBorder="1" applyAlignment="1">
      <alignment/>
    </xf>
    <xf numFmtId="0" fontId="5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19" fillId="34" borderId="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177" fontId="21" fillId="0" borderId="12" xfId="56" applyNumberFormat="1" applyFont="1" applyBorder="1" applyAlignment="1">
      <alignment vertical="center"/>
    </xf>
    <xf numFmtId="177" fontId="0" fillId="0" borderId="12" xfId="0" applyNumberFormat="1" applyFont="1" applyBorder="1" applyAlignment="1">
      <alignment/>
    </xf>
    <xf numFmtId="177" fontId="21" fillId="0" borderId="12" xfId="56" applyNumberFormat="1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0" borderId="0" xfId="0" applyFont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34" borderId="28" xfId="0" applyFont="1" applyFill="1" applyBorder="1" applyAlignment="1">
      <alignment/>
    </xf>
    <xf numFmtId="0" fontId="24" fillId="34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177" fontId="0" fillId="0" borderId="0" xfId="56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77" fontId="6" fillId="0" borderId="3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7" fontId="6" fillId="0" borderId="30" xfId="54" applyNumberFormat="1" applyFont="1" applyFill="1" applyBorder="1" applyAlignment="1">
      <alignment/>
    </xf>
    <xf numFmtId="0" fontId="16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184" fontId="20" fillId="0" borderId="12" xfId="0" applyNumberFormat="1" applyFont="1" applyFill="1" applyBorder="1" applyAlignment="1" applyProtection="1">
      <alignment horizontal="center" vertical="center" wrapText="1"/>
      <protection/>
    </xf>
    <xf numFmtId="176" fontId="16" fillId="0" borderId="0" xfId="0" applyNumberFormat="1" applyFont="1" applyFill="1" applyAlignment="1" applyProtection="1">
      <alignment vertical="center"/>
      <protection/>
    </xf>
    <xf numFmtId="184" fontId="16" fillId="0" borderId="0" xfId="0" applyNumberFormat="1" applyFont="1" applyFill="1" applyBorder="1" applyAlignment="1" applyProtection="1">
      <alignment vertical="center"/>
      <protection/>
    </xf>
    <xf numFmtId="184" fontId="26" fillId="0" borderId="0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176" fontId="20" fillId="0" borderId="12" xfId="47" applyFont="1" applyFill="1" applyBorder="1" applyAlignment="1" applyProtection="1">
      <alignment horizontal="right" vertical="center" wrapText="1"/>
      <protection/>
    </xf>
    <xf numFmtId="176" fontId="6" fillId="0" borderId="12" xfId="47" applyFont="1" applyFill="1" applyBorder="1" applyAlignment="1" applyProtection="1">
      <alignment horizontal="right" vertical="center" wrapText="1"/>
      <protection/>
    </xf>
    <xf numFmtId="0" fontId="20" fillId="34" borderId="29" xfId="0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0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right" vertical="center" wrapText="1"/>
      <protection/>
    </xf>
    <xf numFmtId="0" fontId="6" fillId="34" borderId="29" xfId="0" applyFont="1" applyFill="1" applyBorder="1" applyAlignment="1" applyProtection="1">
      <alignment horizontal="right" vertical="center" wrapText="1"/>
      <protection/>
    </xf>
    <xf numFmtId="0" fontId="6" fillId="34" borderId="30" xfId="0" applyFont="1" applyFill="1" applyBorder="1" applyAlignment="1" applyProtection="1">
      <alignment horizontal="right" vertical="center" wrapText="1"/>
      <protection/>
    </xf>
    <xf numFmtId="0" fontId="6" fillId="0" borderId="28" xfId="0" applyFont="1" applyFill="1" applyBorder="1" applyAlignment="1" applyProtection="1">
      <alignment horizontal="right" vertical="center" wrapText="1"/>
      <protection/>
    </xf>
    <xf numFmtId="0" fontId="6" fillId="0" borderId="29" xfId="0" applyFont="1" applyFill="1" applyBorder="1" applyAlignment="1" applyProtection="1">
      <alignment horizontal="right" vertical="center" wrapText="1"/>
      <protection/>
    </xf>
    <xf numFmtId="0" fontId="6" fillId="0" borderId="30" xfId="0" applyFont="1" applyFill="1" applyBorder="1" applyAlignment="1" applyProtection="1">
      <alignment horizontal="right" vertical="center" wrapText="1"/>
      <protection/>
    </xf>
    <xf numFmtId="10" fontId="20" fillId="34" borderId="12" xfId="54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4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28" fillId="0" borderId="3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177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177" fontId="0" fillId="0" borderId="0" xfId="0" applyNumberFormat="1" applyFont="1" applyFill="1" applyAlignment="1" applyProtection="1">
      <alignment/>
      <protection/>
    </xf>
    <xf numFmtId="0" fontId="6" fillId="34" borderId="21" xfId="0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7" fontId="0" fillId="0" borderId="0" xfId="56" applyNumberFormat="1" applyFont="1" applyFill="1" applyBorder="1" applyAlignment="1">
      <alignment/>
    </xf>
    <xf numFmtId="177" fontId="6" fillId="0" borderId="12" xfId="56" applyNumberFormat="1" applyFont="1" applyFill="1" applyBorder="1" applyAlignment="1">
      <alignment/>
    </xf>
    <xf numFmtId="177" fontId="6" fillId="0" borderId="0" xfId="56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wrapText="1"/>
    </xf>
    <xf numFmtId="0" fontId="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177" fontId="0" fillId="0" borderId="28" xfId="56" applyFont="1" applyBorder="1" applyAlignment="1">
      <alignment/>
    </xf>
    <xf numFmtId="177" fontId="6" fillId="0" borderId="29" xfId="56" applyFont="1" applyBorder="1" applyAlignment="1">
      <alignment/>
    </xf>
    <xf numFmtId="177" fontId="0" fillId="0" borderId="29" xfId="56" applyFont="1" applyBorder="1" applyAlignment="1">
      <alignment/>
    </xf>
    <xf numFmtId="177" fontId="0" fillId="0" borderId="30" xfId="56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7" fontId="6" fillId="0" borderId="30" xfId="0" applyNumberFormat="1" applyFont="1" applyBorder="1" applyAlignment="1">
      <alignment/>
    </xf>
    <xf numFmtId="14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16" fillId="34" borderId="24" xfId="0" applyFont="1" applyFill="1" applyBorder="1" applyAlignment="1" applyProtection="1">
      <alignment vertical="center"/>
      <protection/>
    </xf>
    <xf numFmtId="0" fontId="16" fillId="34" borderId="25" xfId="0" applyFont="1" applyFill="1" applyBorder="1" applyAlignment="1" applyProtection="1">
      <alignment vertical="center"/>
      <protection/>
    </xf>
    <xf numFmtId="10" fontId="16" fillId="34" borderId="25" xfId="0" applyNumberFormat="1" applyFont="1" applyFill="1" applyBorder="1" applyAlignment="1" applyProtection="1">
      <alignment vertical="center"/>
      <protection locked="0"/>
    </xf>
    <xf numFmtId="0" fontId="16" fillId="34" borderId="11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10" fontId="16" fillId="34" borderId="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center"/>
    </xf>
    <xf numFmtId="177" fontId="5" fillId="34" borderId="25" xfId="56" applyNumberFormat="1" applyFont="1" applyFill="1" applyBorder="1" applyAlignment="1">
      <alignment horizontal="center" vertical="center"/>
    </xf>
    <xf numFmtId="177" fontId="5" fillId="34" borderId="22" xfId="56" applyNumberFormat="1" applyFont="1" applyFill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0" fontId="6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177" fontId="18" fillId="34" borderId="0" xfId="0" applyNumberFormat="1" applyFont="1" applyFill="1" applyBorder="1" applyAlignment="1" applyProtection="1">
      <alignment/>
      <protection/>
    </xf>
    <xf numFmtId="177" fontId="0" fillId="34" borderId="0" xfId="0" applyNumberFormat="1" applyFont="1" applyFill="1" applyBorder="1" applyAlignment="1" applyProtection="1">
      <alignment/>
      <protection/>
    </xf>
    <xf numFmtId="0" fontId="20" fillId="0" borderId="19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14" fontId="20" fillId="0" borderId="12" xfId="0" applyNumberFormat="1" applyFont="1" applyFill="1" applyBorder="1" applyAlignment="1" applyProtection="1">
      <alignment horizontal="left" vertical="center" wrapText="1"/>
      <protection/>
    </xf>
    <xf numFmtId="186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left" vertical="center"/>
      <protection/>
    </xf>
    <xf numFmtId="184" fontId="20" fillId="34" borderId="13" xfId="0" applyNumberFormat="1" applyFont="1" applyFill="1" applyBorder="1" applyAlignment="1" applyProtection="1">
      <alignment horizontal="center" vertical="center" wrapText="1"/>
      <protection locked="0"/>
    </xf>
    <xf numFmtId="10" fontId="20" fillId="34" borderId="13" xfId="0" applyNumberFormat="1" applyFont="1" applyFill="1" applyBorder="1" applyAlignment="1" applyProtection="1">
      <alignment horizontal="center" vertical="center" wrapText="1"/>
      <protection locked="0"/>
    </xf>
    <xf numFmtId="177" fontId="20" fillId="34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34" borderId="13" xfId="47" applyFont="1" applyFill="1" applyBorder="1" applyAlignment="1" applyProtection="1">
      <alignment horizontal="center" vertical="center" wrapText="1"/>
      <protection/>
    </xf>
    <xf numFmtId="186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10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177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0" fillId="34" borderId="14" xfId="47" applyFont="1" applyFill="1" applyBorder="1" applyAlignment="1" applyProtection="1">
      <alignment horizontal="center" vertical="center"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20" fillId="0" borderId="17" xfId="0" applyNumberFormat="1" applyFont="1" applyFill="1" applyBorder="1" applyAlignment="1" applyProtection="1">
      <alignment horizontal="center" vertical="center" wrapText="1"/>
      <protection/>
    </xf>
    <xf numFmtId="184" fontId="20" fillId="0" borderId="15" xfId="0" applyNumberFormat="1" applyFont="1" applyFill="1" applyBorder="1" applyAlignment="1" applyProtection="1">
      <alignment horizontal="center" vertical="center" wrapText="1"/>
      <protection/>
    </xf>
    <xf numFmtId="176" fontId="20" fillId="0" borderId="15" xfId="47" applyFont="1" applyFill="1" applyBorder="1" applyAlignment="1" applyProtection="1">
      <alignment horizontal="center" vertical="center" wrapText="1"/>
      <protection/>
    </xf>
    <xf numFmtId="176" fontId="25" fillId="0" borderId="12" xfId="47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10" fontId="20" fillId="34" borderId="12" xfId="0" applyNumberFormat="1" applyFont="1" applyFill="1" applyBorder="1" applyAlignment="1" applyProtection="1">
      <alignment horizontal="center" vertical="center" wrapText="1"/>
      <protection locked="0"/>
    </xf>
    <xf numFmtId="184" fontId="20" fillId="0" borderId="0" xfId="0" applyNumberFormat="1" applyFont="1" applyFill="1" applyBorder="1" applyAlignment="1" applyProtection="1">
      <alignment horizontal="center" vertical="center" wrapText="1"/>
      <protection/>
    </xf>
    <xf numFmtId="176" fontId="25" fillId="0" borderId="12" xfId="47" applyFont="1" applyFill="1" applyBorder="1" applyAlignment="1" applyProtection="1">
      <alignment horizontal="right" vertical="center" wrapText="1"/>
      <protection/>
    </xf>
    <xf numFmtId="10" fontId="20" fillId="0" borderId="0" xfId="0" applyNumberFormat="1" applyFont="1" applyFill="1" applyBorder="1" applyAlignment="1" applyProtection="1">
      <alignment horizontal="center" vertical="center" wrapText="1"/>
      <protection/>
    </xf>
    <xf numFmtId="176" fontId="20" fillId="0" borderId="0" xfId="47" applyFont="1" applyFill="1" applyBorder="1" applyAlignment="1" applyProtection="1">
      <alignment horizontal="right" vertical="center" wrapText="1"/>
      <protection/>
    </xf>
    <xf numFmtId="0" fontId="20" fillId="34" borderId="28" xfId="0" applyFont="1" applyFill="1" applyBorder="1" applyAlignment="1" applyProtection="1">
      <alignment horizontal="center" vertical="center"/>
      <protection/>
    </xf>
    <xf numFmtId="0" fontId="20" fillId="34" borderId="3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4" fontId="20" fillId="0" borderId="18" xfId="0" applyNumberFormat="1" applyFont="1" applyFill="1" applyBorder="1" applyAlignment="1" applyProtection="1">
      <alignment horizontal="center" vertical="center"/>
      <protection/>
    </xf>
    <xf numFmtId="4" fontId="20" fillId="34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3" xfId="47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4" fontId="20" fillId="0" borderId="19" xfId="0" applyNumberFormat="1" applyFont="1" applyFill="1" applyBorder="1" applyAlignment="1" applyProtection="1">
      <alignment horizontal="center" vertical="center"/>
      <protection/>
    </xf>
    <xf numFmtId="176" fontId="20" fillId="0" borderId="14" xfId="47" applyFont="1" applyFill="1" applyBorder="1" applyAlignment="1" applyProtection="1">
      <alignment horizontal="right" vertical="center" wrapText="1"/>
      <protection/>
    </xf>
    <xf numFmtId="184" fontId="20" fillId="0" borderId="0" xfId="0" applyNumberFormat="1" applyFont="1" applyFill="1" applyAlignment="1" applyProtection="1">
      <alignment vertical="center"/>
      <protection/>
    </xf>
    <xf numFmtId="4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176" fontId="20" fillId="0" borderId="15" xfId="47" applyFont="1" applyFill="1" applyBorder="1" applyAlignment="1" applyProtection="1">
      <alignment horizontal="right" vertical="center" wrapText="1"/>
      <protection/>
    </xf>
    <xf numFmtId="10" fontId="20" fillId="34" borderId="12" xfId="0" applyNumberFormat="1" applyFont="1" applyFill="1" applyBorder="1" applyAlignment="1" applyProtection="1">
      <alignment horizontal="center" vertical="center"/>
      <protection locked="0"/>
    </xf>
    <xf numFmtId="176" fontId="20" fillId="0" borderId="12" xfId="47" applyFont="1" applyFill="1" applyBorder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10" fontId="20" fillId="34" borderId="12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176" fontId="20" fillId="0" borderId="12" xfId="0" applyNumberFormat="1" applyFont="1" applyBorder="1" applyAlignment="1" applyProtection="1">
      <alignment vertical="center"/>
      <protection/>
    </xf>
    <xf numFmtId="10" fontId="20" fillId="0" borderId="13" xfId="0" applyNumberFormat="1" applyFont="1" applyFill="1" applyBorder="1" applyAlignment="1" applyProtection="1">
      <alignment horizontal="center" vertical="center"/>
      <protection locked="0"/>
    </xf>
    <xf numFmtId="176" fontId="20" fillId="0" borderId="13" xfId="47" applyFont="1" applyFill="1" applyBorder="1" applyAlignment="1" applyProtection="1">
      <alignment vertical="center"/>
      <protection/>
    </xf>
    <xf numFmtId="10" fontId="20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47" applyFont="1" applyFill="1" applyBorder="1" applyAlignment="1" applyProtection="1">
      <alignment vertical="center"/>
      <protection/>
    </xf>
    <xf numFmtId="184" fontId="20" fillId="34" borderId="34" xfId="0" applyNumberFormat="1" applyFont="1" applyFill="1" applyBorder="1" applyAlignment="1" applyProtection="1">
      <alignment horizontal="center" vertical="center" wrapText="1"/>
      <protection/>
    </xf>
    <xf numFmtId="184" fontId="20" fillId="34" borderId="22" xfId="0" applyNumberFormat="1" applyFont="1" applyFill="1" applyBorder="1" applyAlignment="1" applyProtection="1">
      <alignment horizontal="center" vertical="center" wrapText="1"/>
      <protection/>
    </xf>
    <xf numFmtId="184" fontId="20" fillId="34" borderId="35" xfId="0" applyNumberFormat="1" applyFont="1" applyFill="1" applyBorder="1" applyAlignment="1" applyProtection="1">
      <alignment horizontal="center" vertical="center" wrapText="1"/>
      <protection/>
    </xf>
    <xf numFmtId="10" fontId="25" fillId="0" borderId="0" xfId="0" applyNumberFormat="1" applyFont="1" applyFill="1" applyBorder="1" applyAlignment="1" applyProtection="1">
      <alignment horizontal="center" vertical="center" wrapText="1"/>
      <protection/>
    </xf>
    <xf numFmtId="184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30" xfId="47" applyFont="1" applyFill="1" applyBorder="1" applyAlignment="1" applyProtection="1">
      <alignment horizontal="right" vertical="center" wrapText="1"/>
      <protection/>
    </xf>
    <xf numFmtId="184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84" fontId="2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Alignment="1" applyProtection="1">
      <alignment vertical="center"/>
      <protection/>
    </xf>
    <xf numFmtId="0" fontId="0" fillId="34" borderId="11" xfId="0" applyFont="1" applyFill="1" applyBorder="1" applyAlignment="1" applyProtection="1">
      <alignment/>
      <protection/>
    </xf>
    <xf numFmtId="177" fontId="16" fillId="34" borderId="0" xfId="0" applyNumberFormat="1" applyFont="1" applyFill="1" applyBorder="1" applyAlignment="1" applyProtection="1">
      <alignment/>
      <protection/>
    </xf>
    <xf numFmtId="177" fontId="16" fillId="34" borderId="0" xfId="0" applyNumberFormat="1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177" fontId="16" fillId="0" borderId="0" xfId="0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 horizontal="right"/>
    </xf>
    <xf numFmtId="177" fontId="6" fillId="34" borderId="37" xfId="0" applyNumberFormat="1" applyFont="1" applyFill="1" applyBorder="1" applyAlignment="1" applyProtection="1">
      <alignment horizontal="center"/>
      <protection/>
    </xf>
    <xf numFmtId="177" fontId="6" fillId="0" borderId="37" xfId="0" applyNumberFormat="1" applyFont="1" applyFill="1" applyBorder="1" applyAlignment="1" applyProtection="1">
      <alignment horizontal="center"/>
      <protection/>
    </xf>
    <xf numFmtId="177" fontId="6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/>
      <protection/>
    </xf>
    <xf numFmtId="177" fontId="0" fillId="0" borderId="39" xfId="0" applyNumberFormat="1" applyFont="1" applyFill="1" applyBorder="1" applyAlignment="1" applyProtection="1">
      <alignment/>
      <protection/>
    </xf>
    <xf numFmtId="177" fontId="0" fillId="34" borderId="39" xfId="0" applyNumberFormat="1" applyFont="1" applyFill="1" applyBorder="1" applyAlignment="1" applyProtection="1">
      <alignment/>
      <protection/>
    </xf>
    <xf numFmtId="177" fontId="0" fillId="0" borderId="40" xfId="0" applyNumberFormat="1" applyFont="1" applyFill="1" applyBorder="1" applyAlignment="1" applyProtection="1">
      <alignment/>
      <protection/>
    </xf>
    <xf numFmtId="177" fontId="0" fillId="0" borderId="4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77" fontId="0" fillId="0" borderId="16" xfId="0" applyNumberFormat="1" applyFont="1" applyFill="1" applyBorder="1" applyAlignment="1" applyProtection="1">
      <alignment/>
      <protection/>
    </xf>
    <xf numFmtId="177" fontId="0" fillId="0" borderId="20" xfId="0" applyNumberFormat="1" applyFont="1" applyFill="1" applyBorder="1" applyAlignment="1" applyProtection="1">
      <alignment/>
      <protection/>
    </xf>
    <xf numFmtId="177" fontId="0" fillId="0" borderId="2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/>
      <protection/>
    </xf>
    <xf numFmtId="2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justify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" fontId="6" fillId="34" borderId="12" xfId="56" applyNumberFormat="1" applyFont="1" applyFill="1" applyBorder="1" applyAlignment="1" applyProtection="1">
      <alignment horizontal="center" vertical="center" wrapText="1"/>
      <protection/>
    </xf>
    <xf numFmtId="177" fontId="6" fillId="34" borderId="12" xfId="56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4" fontId="0" fillId="34" borderId="12" xfId="56" applyNumberFormat="1" applyFont="1" applyFill="1" applyBorder="1" applyAlignment="1" applyProtection="1">
      <alignment horizontal="center" vertical="center" wrapText="1"/>
      <protection/>
    </xf>
    <xf numFmtId="175" fontId="0" fillId="34" borderId="12" xfId="56" applyNumberFormat="1" applyFont="1" applyFill="1" applyBorder="1" applyAlignment="1" applyProtection="1">
      <alignment vertical="center" wrapText="1"/>
      <protection/>
    </xf>
    <xf numFmtId="177" fontId="0" fillId="34" borderId="12" xfId="56" applyNumberFormat="1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177" fontId="0" fillId="34" borderId="12" xfId="0" applyNumberFormat="1" applyFont="1" applyFill="1" applyBorder="1" applyAlignment="1">
      <alignment horizontal="center" vertical="center" wrapText="1"/>
    </xf>
    <xf numFmtId="177" fontId="0" fillId="34" borderId="12" xfId="56" applyNumberFormat="1" applyFont="1" applyFill="1" applyBorder="1" applyAlignment="1" applyProtection="1">
      <alignment horizontal="center" vertical="center" wrapText="1"/>
      <protection/>
    </xf>
    <xf numFmtId="2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" fontId="0" fillId="0" borderId="12" xfId="56" applyNumberFormat="1" applyFont="1" applyFill="1" applyBorder="1" applyAlignment="1" applyProtection="1">
      <alignment vertical="center" wrapText="1"/>
      <protection/>
    </xf>
    <xf numFmtId="177" fontId="0" fillId="0" borderId="12" xfId="56" applyNumberFormat="1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20" fontId="0" fillId="0" borderId="41" xfId="0" applyNumberFormat="1" applyFont="1" applyFill="1" applyBorder="1" applyAlignment="1" applyProtection="1">
      <alignment horizontal="right" vertical="center" wrapText="1"/>
      <protection/>
    </xf>
    <xf numFmtId="0" fontId="0" fillId="0" borderId="41" xfId="0" applyFont="1" applyFill="1" applyBorder="1" applyAlignment="1" applyProtection="1">
      <alignment horizontal="justify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4" fontId="0" fillId="0" borderId="41" xfId="56" applyNumberFormat="1" applyFont="1" applyFill="1" applyBorder="1" applyAlignment="1" applyProtection="1">
      <alignment vertical="center" wrapText="1"/>
      <protection/>
    </xf>
    <xf numFmtId="177" fontId="0" fillId="0" borderId="41" xfId="56" applyNumberFormat="1" applyFont="1" applyFill="1" applyBorder="1" applyAlignment="1" applyProtection="1">
      <alignment vertical="center" wrapText="1"/>
      <protection/>
    </xf>
    <xf numFmtId="20" fontId="0" fillId="34" borderId="24" xfId="0" applyNumberFormat="1" applyFont="1" applyFill="1" applyBorder="1" applyAlignment="1" applyProtection="1">
      <alignment horizontal="right" vertical="center" wrapText="1"/>
      <protection/>
    </xf>
    <xf numFmtId="0" fontId="0" fillId="34" borderId="25" xfId="0" applyFont="1" applyFill="1" applyBorder="1" applyAlignment="1" applyProtection="1">
      <alignment horizontal="justify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4" fontId="0" fillId="34" borderId="25" xfId="56" applyNumberFormat="1" applyFont="1" applyFill="1" applyBorder="1" applyAlignment="1" applyProtection="1">
      <alignment vertical="center" wrapText="1"/>
      <protection/>
    </xf>
    <xf numFmtId="177" fontId="6" fillId="34" borderId="30" xfId="56" applyNumberFormat="1" applyFont="1" applyFill="1" applyBorder="1" applyAlignment="1" applyProtection="1">
      <alignment vertical="center" wrapText="1"/>
      <protection/>
    </xf>
    <xf numFmtId="177" fontId="6" fillId="34" borderId="12" xfId="56" applyNumberFormat="1" applyFont="1" applyFill="1" applyBorder="1" applyAlignment="1" applyProtection="1">
      <alignment vertical="center" wrapText="1"/>
      <protection/>
    </xf>
    <xf numFmtId="177" fontId="0" fillId="0" borderId="12" xfId="56" applyNumberFormat="1" applyFont="1" applyFill="1" applyBorder="1" applyAlignment="1" applyProtection="1">
      <alignment horizontal="center" vertical="center" wrapText="1"/>
      <protection/>
    </xf>
    <xf numFmtId="175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vertical="center" wrapText="1"/>
    </xf>
    <xf numFmtId="2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6" fillId="34" borderId="42" xfId="0" applyFont="1" applyFill="1" applyBorder="1" applyAlignment="1" applyProtection="1">
      <alignment horizontal="center" vertical="center" wrapText="1"/>
      <protection/>
    </xf>
    <xf numFmtId="4" fontId="6" fillId="34" borderId="43" xfId="56" applyNumberFormat="1" applyFont="1" applyFill="1" applyBorder="1" applyAlignment="1" applyProtection="1">
      <alignment horizontal="center" vertical="center" wrapText="1"/>
      <protection/>
    </xf>
    <xf numFmtId="0" fontId="6" fillId="34" borderId="44" xfId="0" applyFont="1" applyFill="1" applyBorder="1" applyAlignment="1">
      <alignment horizontal="center" vertical="center" wrapText="1"/>
    </xf>
    <xf numFmtId="177" fontId="6" fillId="34" borderId="42" xfId="0" applyNumberFormat="1" applyFont="1" applyFill="1" applyBorder="1" applyAlignment="1">
      <alignment horizontal="center" vertical="center" wrapText="1"/>
    </xf>
    <xf numFmtId="177" fontId="6" fillId="34" borderId="26" xfId="56" applyNumberFormat="1" applyFont="1" applyFill="1" applyBorder="1" applyAlignment="1" applyProtection="1">
      <alignment horizontal="center" vertical="center" wrapText="1"/>
      <protection/>
    </xf>
    <xf numFmtId="0" fontId="20" fillId="34" borderId="12" xfId="0" applyFont="1" applyFill="1" applyBorder="1" applyAlignment="1" applyProtection="1">
      <alignment horizontal="justify" vertical="center" wrapText="1"/>
      <protection/>
    </xf>
    <xf numFmtId="177" fontId="0" fillId="34" borderId="12" xfId="56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177" fontId="0" fillId="0" borderId="29" xfId="56" applyNumberFormat="1" applyFont="1" applyFill="1" applyBorder="1" applyAlignment="1" applyProtection="1">
      <alignment horizontal="center" vertical="center" wrapText="1"/>
      <protection/>
    </xf>
    <xf numFmtId="177" fontId="0" fillId="34" borderId="29" xfId="0" applyNumberFormat="1" applyFont="1" applyFill="1" applyBorder="1" applyAlignment="1">
      <alignment horizontal="center" vertical="center" wrapText="1"/>
    </xf>
    <xf numFmtId="0" fontId="0" fillId="34" borderId="45" xfId="0" applyFont="1" applyFill="1" applyBorder="1" applyAlignment="1" applyProtection="1">
      <alignment horizontal="center"/>
      <protection/>
    </xf>
    <xf numFmtId="0" fontId="6" fillId="34" borderId="46" xfId="0" applyFont="1" applyFill="1" applyBorder="1" applyAlignment="1" applyProtection="1">
      <alignment horizontal="center"/>
      <protection/>
    </xf>
    <xf numFmtId="0" fontId="0" fillId="34" borderId="46" xfId="0" applyFont="1" applyFill="1" applyBorder="1" applyAlignment="1" applyProtection="1">
      <alignment horizontal="center"/>
      <protection/>
    </xf>
    <xf numFmtId="177" fontId="0" fillId="34" borderId="46" xfId="56" applyNumberFormat="1" applyFont="1" applyFill="1" applyBorder="1" applyAlignment="1" applyProtection="1">
      <alignment horizontal="right"/>
      <protection/>
    </xf>
    <xf numFmtId="177" fontId="6" fillId="34" borderId="46" xfId="56" applyNumberFormat="1" applyFont="1" applyFill="1" applyBorder="1" applyAlignment="1" applyProtection="1">
      <alignment horizontal="right"/>
      <protection/>
    </xf>
    <xf numFmtId="177" fontId="6" fillId="34" borderId="46" xfId="56" applyNumberFormat="1" applyFont="1" applyFill="1" applyBorder="1" applyAlignment="1" applyProtection="1">
      <alignment horizontal="center"/>
      <protection/>
    </xf>
    <xf numFmtId="177" fontId="6" fillId="34" borderId="47" xfId="56" applyNumberFormat="1" applyFont="1" applyFill="1" applyBorder="1" applyAlignment="1" applyProtection="1">
      <alignment horizontal="right"/>
      <protection/>
    </xf>
    <xf numFmtId="0" fontId="0" fillId="34" borderId="24" xfId="0" applyFont="1" applyFill="1" applyBorder="1" applyAlignment="1" applyProtection="1">
      <alignment horizontal="center"/>
      <protection/>
    </xf>
    <xf numFmtId="177" fontId="6" fillId="34" borderId="25" xfId="56" applyFont="1" applyFill="1" applyBorder="1" applyAlignment="1" applyProtection="1">
      <alignment/>
      <protection/>
    </xf>
    <xf numFmtId="177" fontId="0" fillId="34" borderId="25" xfId="56" applyFont="1" applyFill="1" applyBorder="1" applyAlignment="1" applyProtection="1">
      <alignment horizontal="center"/>
      <protection/>
    </xf>
    <xf numFmtId="177" fontId="0" fillId="34" borderId="25" xfId="56" applyNumberFormat="1" applyFont="1" applyFill="1" applyBorder="1" applyAlignment="1" applyProtection="1">
      <alignment horizontal="right"/>
      <protection/>
    </xf>
    <xf numFmtId="177" fontId="6" fillId="34" borderId="25" xfId="56" applyNumberFormat="1" applyFont="1" applyFill="1" applyBorder="1" applyAlignment="1" applyProtection="1">
      <alignment/>
      <protection/>
    </xf>
    <xf numFmtId="177" fontId="0" fillId="34" borderId="25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right"/>
    </xf>
    <xf numFmtId="177" fontId="6" fillId="34" borderId="26" xfId="56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177" fontId="6" fillId="34" borderId="0" xfId="56" applyFont="1" applyFill="1" applyBorder="1" applyAlignment="1" applyProtection="1">
      <alignment/>
      <protection/>
    </xf>
    <xf numFmtId="177" fontId="0" fillId="34" borderId="0" xfId="56" applyFont="1" applyFill="1" applyBorder="1" applyAlignment="1" applyProtection="1">
      <alignment horizontal="center"/>
      <protection/>
    </xf>
    <xf numFmtId="177" fontId="0" fillId="34" borderId="0" xfId="56" applyNumberFormat="1" applyFont="1" applyFill="1" applyBorder="1" applyAlignment="1" applyProtection="1">
      <alignment horizontal="right"/>
      <protection/>
    </xf>
    <xf numFmtId="177" fontId="6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>
      <alignment horizontal="right"/>
    </xf>
    <xf numFmtId="177" fontId="0" fillId="34" borderId="0" xfId="0" applyNumberFormat="1" applyFont="1" applyFill="1" applyBorder="1" applyAlignment="1">
      <alignment horizontal="right"/>
    </xf>
    <xf numFmtId="177" fontId="6" fillId="34" borderId="10" xfId="56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16" fillId="0" borderId="0" xfId="0" applyNumberFormat="1" applyFont="1" applyAlignment="1" applyProtection="1">
      <alignment/>
      <protection/>
    </xf>
    <xf numFmtId="177" fontId="0" fillId="34" borderId="25" xfId="56" applyFont="1" applyFill="1" applyBorder="1" applyAlignment="1">
      <alignment/>
    </xf>
    <xf numFmtId="177" fontId="6" fillId="34" borderId="25" xfId="56" applyFont="1" applyFill="1" applyBorder="1" applyAlignment="1">
      <alignment/>
    </xf>
    <xf numFmtId="177" fontId="6" fillId="34" borderId="11" xfId="56" applyFont="1" applyFill="1" applyBorder="1" applyAlignment="1">
      <alignment horizontal="center"/>
    </xf>
    <xf numFmtId="177" fontId="6" fillId="34" borderId="0" xfId="56" applyFont="1" applyFill="1" applyBorder="1" applyAlignment="1">
      <alignment horizontal="center"/>
    </xf>
    <xf numFmtId="177" fontId="6" fillId="34" borderId="0" xfId="56" applyFont="1" applyFill="1" applyBorder="1" applyAlignment="1">
      <alignment horizontal="left"/>
    </xf>
    <xf numFmtId="177" fontId="0" fillId="34" borderId="0" xfId="56" applyFont="1" applyFill="1" applyBorder="1" applyAlignment="1">
      <alignment/>
    </xf>
    <xf numFmtId="0" fontId="0" fillId="34" borderId="21" xfId="0" applyFont="1" applyFill="1" applyBorder="1" applyAlignment="1">
      <alignment/>
    </xf>
    <xf numFmtId="177" fontId="0" fillId="34" borderId="22" xfId="56" applyFont="1" applyFill="1" applyBorder="1" applyAlignment="1">
      <alignment/>
    </xf>
    <xf numFmtId="0" fontId="6" fillId="0" borderId="27" xfId="0" applyFont="1" applyBorder="1" applyAlignment="1">
      <alignment horizontal="center"/>
    </xf>
    <xf numFmtId="177" fontId="6" fillId="0" borderId="27" xfId="5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77" fontId="6" fillId="0" borderId="29" xfId="56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6" fillId="34" borderId="48" xfId="0" applyFont="1" applyFill="1" applyBorder="1" applyAlignment="1" applyProtection="1">
      <alignment horizontal="justify" vertical="center" wrapText="1"/>
      <protection/>
    </xf>
    <xf numFmtId="177" fontId="0" fillId="0" borderId="0" xfId="56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41" xfId="0" applyFont="1" applyBorder="1" applyAlignment="1">
      <alignment/>
    </xf>
    <xf numFmtId="177" fontId="0" fillId="0" borderId="25" xfId="56" applyFont="1" applyBorder="1" applyAlignment="1">
      <alignment/>
    </xf>
    <xf numFmtId="0" fontId="0" fillId="0" borderId="28" xfId="0" applyFont="1" applyBorder="1" applyAlignment="1">
      <alignment horizontal="center"/>
    </xf>
    <xf numFmtId="177" fontId="0" fillId="0" borderId="29" xfId="56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left" wrapText="1"/>
    </xf>
    <xf numFmtId="177" fontId="6" fillId="34" borderId="12" xfId="56" applyFont="1" applyFill="1" applyBorder="1" applyAlignment="1">
      <alignment horizontal="left" wrapText="1"/>
    </xf>
    <xf numFmtId="177" fontId="0" fillId="0" borderId="0" xfId="56" applyFont="1" applyAlignment="1">
      <alignment horizontal="left" wrapText="1"/>
    </xf>
    <xf numFmtId="0" fontId="0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left" wrapText="1"/>
    </xf>
    <xf numFmtId="177" fontId="0" fillId="34" borderId="29" xfId="56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24" xfId="0" applyFont="1" applyBorder="1" applyAlignment="1">
      <alignment/>
    </xf>
    <xf numFmtId="0" fontId="0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6" fillId="34" borderId="29" xfId="56" applyFont="1" applyFill="1" applyBorder="1" applyAlignment="1">
      <alignment/>
    </xf>
    <xf numFmtId="177" fontId="6" fillId="34" borderId="30" xfId="56" applyFont="1" applyFill="1" applyBorder="1" applyAlignment="1">
      <alignment/>
    </xf>
    <xf numFmtId="177" fontId="6" fillId="34" borderId="28" xfId="56" applyFont="1" applyFill="1" applyBorder="1" applyAlignment="1">
      <alignment/>
    </xf>
    <xf numFmtId="177" fontId="0" fillId="34" borderId="30" xfId="0" applyNumberFormat="1" applyFont="1" applyFill="1" applyBorder="1" applyAlignment="1">
      <alignment horizontal="left"/>
    </xf>
    <xf numFmtId="0" fontId="0" fillId="34" borderId="0" xfId="0" applyFont="1" applyFill="1" applyAlignment="1">
      <alignment/>
    </xf>
    <xf numFmtId="177" fontId="0" fillId="34" borderId="0" xfId="56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14" fontId="6" fillId="34" borderId="49" xfId="0" applyNumberFormat="1" applyFont="1" applyFill="1" applyBorder="1" applyAlignment="1" applyProtection="1">
      <alignment/>
      <protection/>
    </xf>
    <xf numFmtId="177" fontId="19" fillId="0" borderId="49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177" fontId="17" fillId="34" borderId="0" xfId="0" applyNumberFormat="1" applyFont="1" applyFill="1" applyBorder="1" applyAlignment="1" applyProtection="1">
      <alignment/>
      <protection/>
    </xf>
    <xf numFmtId="177" fontId="6" fillId="34" borderId="0" xfId="0" applyNumberFormat="1" applyFont="1" applyFill="1" applyBorder="1" applyAlignment="1" applyProtection="1">
      <alignment/>
      <protection/>
    </xf>
    <xf numFmtId="0" fontId="0" fillId="34" borderId="49" xfId="0" applyFont="1" applyFill="1" applyBorder="1" applyAlignment="1" applyProtection="1">
      <alignment/>
      <protection/>
    </xf>
    <xf numFmtId="0" fontId="18" fillId="34" borderId="50" xfId="0" applyFont="1" applyFill="1" applyBorder="1" applyAlignment="1" applyProtection="1">
      <alignment/>
      <protection/>
    </xf>
    <xf numFmtId="177" fontId="18" fillId="34" borderId="50" xfId="0" applyNumberFormat="1" applyFont="1" applyFill="1" applyBorder="1" applyAlignment="1" applyProtection="1">
      <alignment/>
      <protection/>
    </xf>
    <xf numFmtId="177" fontId="0" fillId="34" borderId="50" xfId="0" applyNumberFormat="1" applyFont="1" applyFill="1" applyBorder="1" applyAlignment="1" applyProtection="1">
      <alignment/>
      <protection/>
    </xf>
    <xf numFmtId="177" fontId="16" fillId="34" borderId="50" xfId="0" applyNumberFormat="1" applyFont="1" applyFill="1" applyBorder="1" applyAlignment="1" applyProtection="1">
      <alignment/>
      <protection/>
    </xf>
    <xf numFmtId="177" fontId="16" fillId="34" borderId="50" xfId="0" applyNumberFormat="1" applyFont="1" applyFill="1" applyBorder="1" applyAlignment="1" applyProtection="1">
      <alignment/>
      <protection/>
    </xf>
    <xf numFmtId="177" fontId="6" fillId="34" borderId="51" xfId="0" applyNumberFormat="1" applyFont="1" applyFill="1" applyBorder="1" applyAlignment="1" applyProtection="1">
      <alignment horizontal="right"/>
      <protection/>
    </xf>
    <xf numFmtId="0" fontId="0" fillId="34" borderId="52" xfId="0" applyFont="1" applyFill="1" applyBorder="1" applyAlignment="1" applyProtection="1">
      <alignment/>
      <protection/>
    </xf>
    <xf numFmtId="193" fontId="6" fillId="34" borderId="50" xfId="0" applyNumberFormat="1" applyFont="1" applyFill="1" applyBorder="1" applyAlignment="1" applyProtection="1">
      <alignment horizontal="left"/>
      <protection/>
    </xf>
    <xf numFmtId="0" fontId="17" fillId="34" borderId="31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/>
      <protection/>
    </xf>
    <xf numFmtId="0" fontId="0" fillId="34" borderId="46" xfId="0" applyFont="1" applyFill="1" applyBorder="1" applyAlignment="1" applyProtection="1">
      <alignment/>
      <protection/>
    </xf>
    <xf numFmtId="177" fontId="0" fillId="34" borderId="46" xfId="0" applyNumberFormat="1" applyFont="1" applyFill="1" applyBorder="1" applyAlignment="1" applyProtection="1">
      <alignment/>
      <protection/>
    </xf>
    <xf numFmtId="177" fontId="16" fillId="34" borderId="46" xfId="0" applyNumberFormat="1" applyFont="1" applyFill="1" applyBorder="1" applyAlignment="1" applyProtection="1">
      <alignment/>
      <protection/>
    </xf>
    <xf numFmtId="177" fontId="16" fillId="34" borderId="46" xfId="0" applyNumberFormat="1" applyFont="1" applyFill="1" applyBorder="1" applyAlignment="1" applyProtection="1">
      <alignment/>
      <protection/>
    </xf>
    <xf numFmtId="177" fontId="0" fillId="34" borderId="54" xfId="0" applyNumberFormat="1" applyFont="1" applyFill="1" applyBorder="1" applyAlignment="1" applyProtection="1">
      <alignment/>
      <protection/>
    </xf>
    <xf numFmtId="177" fontId="0" fillId="34" borderId="49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10" fontId="6" fillId="34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0" xfId="56" applyNumberFormat="1" applyFont="1" applyFill="1" applyBorder="1" applyAlignment="1">
      <alignment/>
    </xf>
    <xf numFmtId="0" fontId="20" fillId="34" borderId="29" xfId="0" applyFont="1" applyFill="1" applyBorder="1" applyAlignment="1" applyProtection="1">
      <alignment horizontal="center" vertical="center"/>
      <protection/>
    </xf>
    <xf numFmtId="1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left" vertical="center" wrapText="1"/>
      <protection/>
    </xf>
    <xf numFmtId="10" fontId="20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34" borderId="0" xfId="0" applyNumberFormat="1" applyFont="1" applyFill="1" applyBorder="1" applyAlignment="1" applyProtection="1">
      <alignment horizontal="center" vertical="center"/>
      <protection locked="0"/>
    </xf>
    <xf numFmtId="10" fontId="20" fillId="34" borderId="0" xfId="0" applyNumberFormat="1" applyFont="1" applyFill="1" applyBorder="1" applyAlignment="1" applyProtection="1">
      <alignment horizontal="center" vertical="center"/>
      <protection/>
    </xf>
    <xf numFmtId="10" fontId="20" fillId="34" borderId="0" xfId="54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55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177" fontId="20" fillId="0" borderId="0" xfId="56" applyFont="1" applyFill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horizontal="right" vertical="center"/>
      <protection/>
    </xf>
    <xf numFmtId="176" fontId="80" fillId="0" borderId="14" xfId="47" applyFont="1" applyFill="1" applyBorder="1" applyAlignment="1" applyProtection="1">
      <alignment vertical="center"/>
      <protection/>
    </xf>
    <xf numFmtId="177" fontId="20" fillId="34" borderId="13" xfId="56" applyFont="1" applyFill="1" applyBorder="1" applyAlignment="1" applyProtection="1">
      <alignment horizontal="center" vertical="center" wrapText="1"/>
      <protection locked="0"/>
    </xf>
    <xf numFmtId="177" fontId="20" fillId="34" borderId="14" xfId="56" applyFont="1" applyFill="1" applyBorder="1" applyAlignment="1" applyProtection="1">
      <alignment horizontal="center" vertical="center" wrapText="1"/>
      <protection locked="0"/>
    </xf>
    <xf numFmtId="177" fontId="20" fillId="35" borderId="56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 applyProtection="1">
      <alignment horizontal="justify" vertical="center" wrapText="1"/>
      <protection/>
    </xf>
    <xf numFmtId="0" fontId="0" fillId="35" borderId="32" xfId="0" applyFont="1" applyFill="1" applyBorder="1" applyAlignment="1">
      <alignment horizontal="center" vertical="center" wrapText="1"/>
    </xf>
    <xf numFmtId="0" fontId="0" fillId="35" borderId="57" xfId="0" applyFont="1" applyFill="1" applyBorder="1" applyAlignment="1" applyProtection="1">
      <alignment horizontal="justify" vertical="center" wrapText="1"/>
      <protection/>
    </xf>
    <xf numFmtId="0" fontId="81" fillId="35" borderId="57" xfId="0" applyFont="1" applyFill="1" applyBorder="1" applyAlignment="1">
      <alignment horizontal="left" vertical="top" wrapText="1"/>
    </xf>
    <xf numFmtId="0" fontId="82" fillId="35" borderId="57" xfId="0" applyFont="1" applyFill="1" applyBorder="1" applyAlignment="1">
      <alignment horizontal="left" vertical="center" wrapText="1"/>
    </xf>
    <xf numFmtId="0" fontId="20" fillId="0" borderId="46" xfId="0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 horizontal="center"/>
      <protection/>
    </xf>
    <xf numFmtId="0" fontId="20" fillId="0" borderId="58" xfId="0" applyFont="1" applyFill="1" applyBorder="1" applyAlignment="1" applyProtection="1">
      <alignment horizontal="center"/>
      <protection/>
    </xf>
    <xf numFmtId="0" fontId="20" fillId="0" borderId="59" xfId="0" applyFont="1" applyFill="1" applyBorder="1" applyAlignment="1" applyProtection="1">
      <alignment horizontal="center"/>
      <protection/>
    </xf>
    <xf numFmtId="20" fontId="16" fillId="34" borderId="60" xfId="0" applyNumberFormat="1" applyFont="1" applyFill="1" applyBorder="1" applyAlignment="1" applyProtection="1">
      <alignment horizontal="center" vertical="center" wrapText="1"/>
      <protection/>
    </xf>
    <xf numFmtId="20" fontId="16" fillId="34" borderId="61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20" fontId="1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46" xfId="0" applyFont="1" applyFill="1" applyBorder="1" applyAlignment="1" applyProtection="1">
      <alignment horizontal="center"/>
      <protection/>
    </xf>
    <xf numFmtId="0" fontId="16" fillId="34" borderId="25" xfId="0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16" fillId="34" borderId="50" xfId="0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 applyProtection="1">
      <alignment horizontal="center"/>
      <protection/>
    </xf>
    <xf numFmtId="20" fontId="16" fillId="0" borderId="60" xfId="0" applyNumberFormat="1" applyFont="1" applyFill="1" applyBorder="1" applyAlignment="1" applyProtection="1">
      <alignment horizontal="center" vertical="center" wrapText="1"/>
      <protection/>
    </xf>
    <xf numFmtId="20" fontId="16" fillId="34" borderId="0" xfId="0" applyNumberFormat="1" applyFont="1" applyFill="1" applyBorder="1" applyAlignment="1" applyProtection="1">
      <alignment horizontal="center" vertical="center" wrapText="1"/>
      <protection/>
    </xf>
    <xf numFmtId="20" fontId="16" fillId="0" borderId="0" xfId="0" applyNumberFormat="1" applyFont="1" applyFill="1" applyBorder="1" applyAlignment="1" applyProtection="1">
      <alignment horizontal="center" vertical="center" wrapText="1"/>
      <protection/>
    </xf>
    <xf numFmtId="20" fontId="16" fillId="0" borderId="29" xfId="0" applyNumberFormat="1" applyFont="1" applyFill="1" applyBorder="1" applyAlignment="1" applyProtection="1">
      <alignment horizontal="center" vertical="center" wrapText="1"/>
      <protection/>
    </xf>
    <xf numFmtId="20" fontId="16" fillId="0" borderId="12" xfId="0" applyNumberFormat="1" applyFont="1" applyFill="1" applyBorder="1" applyAlignment="1" applyProtection="1">
      <alignment horizontal="center" vertical="center" wrapText="1"/>
      <protection/>
    </xf>
    <xf numFmtId="20" fontId="16" fillId="0" borderId="41" xfId="0" applyNumberFormat="1" applyFont="1" applyFill="1" applyBorder="1" applyAlignment="1" applyProtection="1">
      <alignment horizontal="center" vertical="center" wrapText="1"/>
      <protection/>
    </xf>
    <xf numFmtId="20" fontId="16" fillId="34" borderId="25" xfId="0" applyNumberFormat="1" applyFont="1" applyFill="1" applyBorder="1" applyAlignment="1" applyProtection="1">
      <alignment horizontal="center" vertical="center" wrapText="1"/>
      <protection/>
    </xf>
    <xf numFmtId="2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2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60" xfId="0" applyFont="1" applyBorder="1" applyAlignment="1">
      <alignment horizontal="right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4" fontId="16" fillId="0" borderId="12" xfId="56" applyNumberFormat="1" applyFont="1" applyFill="1" applyBorder="1" applyAlignment="1" applyProtection="1">
      <alignment vertical="center" wrapText="1"/>
      <protection/>
    </xf>
    <xf numFmtId="169" fontId="0" fillId="0" borderId="12" xfId="0" applyNumberFormat="1" applyFont="1" applyBorder="1" applyAlignment="1">
      <alignment horizontal="center" vertical="center" wrapText="1"/>
    </xf>
    <xf numFmtId="177" fontId="16" fillId="35" borderId="28" xfId="56" applyNumberFormat="1" applyFont="1" applyFill="1" applyBorder="1" applyAlignment="1" applyProtection="1">
      <alignment horizontal="center" vertical="center" wrapText="1"/>
      <protection/>
    </xf>
    <xf numFmtId="169" fontId="6" fillId="0" borderId="12" xfId="0" applyNumberFormat="1" applyFont="1" applyBorder="1" applyAlignment="1">
      <alignment horizontal="center" vertical="center" wrapText="1"/>
    </xf>
    <xf numFmtId="169" fontId="16" fillId="0" borderId="0" xfId="0" applyNumberFormat="1" applyFont="1" applyBorder="1" applyAlignment="1" applyProtection="1">
      <alignment vertical="center" wrapText="1"/>
      <protection/>
    </xf>
    <xf numFmtId="0" fontId="6" fillId="34" borderId="62" xfId="0" applyFont="1" applyFill="1" applyBorder="1" applyAlignment="1">
      <alignment horizontal="center" vertical="center" wrapText="1"/>
    </xf>
    <xf numFmtId="20" fontId="16" fillId="35" borderId="25" xfId="0" applyNumberFormat="1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 applyProtection="1">
      <alignment horizontal="center"/>
      <protection/>
    </xf>
    <xf numFmtId="20" fontId="0" fillId="35" borderId="12" xfId="0" applyNumberFormat="1" applyFont="1" applyFill="1" applyBorder="1" applyAlignment="1" applyProtection="1">
      <alignment horizontal="right" vertical="center" wrapText="1"/>
      <protection/>
    </xf>
    <xf numFmtId="20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53" xfId="0" applyFont="1" applyFill="1" applyBorder="1" applyAlignment="1" applyProtection="1">
      <alignment horizontal="center"/>
      <protection/>
    </xf>
    <xf numFmtId="177" fontId="0" fillId="0" borderId="63" xfId="0" applyNumberFormat="1" applyFont="1" applyBorder="1" applyAlignment="1">
      <alignment horizontal="center"/>
    </xf>
    <xf numFmtId="177" fontId="6" fillId="0" borderId="64" xfId="0" applyNumberFormat="1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177" fontId="6" fillId="0" borderId="65" xfId="0" applyNumberFormat="1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177" fontId="0" fillId="0" borderId="64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177" fontId="0" fillId="0" borderId="68" xfId="0" applyNumberFormat="1" applyFont="1" applyFill="1" applyBorder="1" applyAlignment="1" applyProtection="1">
      <alignment/>
      <protection/>
    </xf>
    <xf numFmtId="177" fontId="6" fillId="0" borderId="69" xfId="0" applyNumberFormat="1" applyFont="1" applyFill="1" applyBorder="1" applyAlignment="1" applyProtection="1">
      <alignment horizontal="center"/>
      <protection/>
    </xf>
    <xf numFmtId="177" fontId="6" fillId="0" borderId="70" xfId="0" applyNumberFormat="1" applyFont="1" applyFill="1" applyBorder="1" applyAlignment="1" applyProtection="1">
      <alignment horizontal="center"/>
      <protection/>
    </xf>
    <xf numFmtId="0" fontId="6" fillId="0" borderId="71" xfId="0" applyFont="1" applyFill="1" applyBorder="1" applyAlignment="1" applyProtection="1">
      <alignment horizontal="center"/>
      <protection/>
    </xf>
    <xf numFmtId="20" fontId="0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justify" vertical="center" wrapText="1"/>
      <protection/>
    </xf>
    <xf numFmtId="0" fontId="0" fillId="34" borderId="73" xfId="0" applyFont="1" applyFill="1" applyBorder="1" applyAlignment="1" applyProtection="1">
      <alignment horizontal="center" vertical="center" wrapText="1"/>
      <protection/>
    </xf>
    <xf numFmtId="4" fontId="0" fillId="34" borderId="13" xfId="56" applyNumberFormat="1" applyFont="1" applyFill="1" applyBorder="1" applyAlignment="1" applyProtection="1">
      <alignment horizontal="center" vertical="center" wrapText="1"/>
      <protection/>
    </xf>
    <xf numFmtId="0" fontId="0" fillId="34" borderId="74" xfId="0" applyFont="1" applyFill="1" applyBorder="1" applyAlignment="1">
      <alignment horizontal="center" vertical="center" wrapText="1"/>
    </xf>
    <xf numFmtId="177" fontId="0" fillId="34" borderId="73" xfId="0" applyNumberFormat="1" applyFont="1" applyFill="1" applyBorder="1" applyAlignment="1">
      <alignment horizontal="center" vertical="center" wrapText="1"/>
    </xf>
    <xf numFmtId="177" fontId="0" fillId="34" borderId="75" xfId="56" applyNumberFormat="1" applyFont="1" applyFill="1" applyBorder="1" applyAlignment="1" applyProtection="1">
      <alignment horizontal="center" vertical="center" wrapText="1"/>
      <protection/>
    </xf>
    <xf numFmtId="20" fontId="0" fillId="0" borderId="76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4" fontId="0" fillId="0" borderId="14" xfId="56" applyNumberFormat="1" applyFont="1" applyFill="1" applyBorder="1" applyAlignment="1" applyProtection="1">
      <alignment vertical="center" wrapText="1"/>
      <protection/>
    </xf>
    <xf numFmtId="177" fontId="0" fillId="0" borderId="78" xfId="0" applyNumberFormat="1" applyFont="1" applyBorder="1" applyAlignment="1">
      <alignment horizontal="center" vertical="center" wrapText="1"/>
    </xf>
    <xf numFmtId="177" fontId="0" fillId="0" borderId="77" xfId="0" applyNumberFormat="1" applyFont="1" applyBorder="1" applyAlignment="1">
      <alignment horizontal="center" vertical="center" wrapText="1"/>
    </xf>
    <xf numFmtId="177" fontId="0" fillId="0" borderId="79" xfId="56" applyNumberFormat="1" applyFont="1" applyFill="1" applyBorder="1" applyAlignment="1" applyProtection="1">
      <alignment vertical="center" wrapText="1"/>
      <protection/>
    </xf>
    <xf numFmtId="20" fontId="0" fillId="34" borderId="31" xfId="0" applyNumberFormat="1" applyFont="1" applyFill="1" applyBorder="1" applyAlignment="1" applyProtection="1">
      <alignment horizontal="right" vertical="center" wrapText="1"/>
      <protection/>
    </xf>
    <xf numFmtId="0" fontId="0" fillId="34" borderId="20" xfId="0" applyFont="1" applyFill="1" applyBorder="1" applyAlignment="1" applyProtection="1">
      <alignment horizontal="justify" vertical="center" wrapText="1"/>
      <protection/>
    </xf>
    <xf numFmtId="0" fontId="0" fillId="34" borderId="80" xfId="0" applyFont="1" applyFill="1" applyBorder="1" applyAlignment="1" applyProtection="1">
      <alignment horizontal="center" vertical="center" wrapText="1"/>
      <protection/>
    </xf>
    <xf numFmtId="4" fontId="0" fillId="34" borderId="16" xfId="56" applyNumberFormat="1" applyFont="1" applyFill="1" applyBorder="1" applyAlignment="1" applyProtection="1">
      <alignment vertical="center" wrapText="1"/>
      <protection/>
    </xf>
    <xf numFmtId="177" fontId="0" fillId="34" borderId="56" xfId="0" applyNumberFormat="1" applyFont="1" applyFill="1" applyBorder="1" applyAlignment="1">
      <alignment horizontal="center" vertical="center" wrapText="1"/>
    </xf>
    <xf numFmtId="177" fontId="6" fillId="34" borderId="80" xfId="0" applyNumberFormat="1" applyFont="1" applyFill="1" applyBorder="1" applyAlignment="1">
      <alignment horizontal="center" vertical="center" wrapText="1"/>
    </xf>
    <xf numFmtId="177" fontId="6" fillId="34" borderId="56" xfId="0" applyNumberFormat="1" applyFont="1" applyFill="1" applyBorder="1" applyAlignment="1">
      <alignment horizontal="center" vertical="center" wrapText="1"/>
    </xf>
    <xf numFmtId="177" fontId="6" fillId="34" borderId="81" xfId="56" applyNumberFormat="1" applyFont="1" applyFill="1" applyBorder="1" applyAlignment="1" applyProtection="1">
      <alignment vertical="center" wrapText="1"/>
      <protection/>
    </xf>
    <xf numFmtId="20" fontId="0" fillId="34" borderId="82" xfId="0" applyNumberFormat="1" applyFont="1" applyFill="1" applyBorder="1" applyAlignment="1" applyProtection="1">
      <alignment horizontal="center" vertical="center" wrapText="1"/>
      <protection/>
    </xf>
    <xf numFmtId="177" fontId="0" fillId="35" borderId="19" xfId="56" applyNumberFormat="1" applyFont="1" applyFill="1" applyBorder="1" applyAlignment="1" applyProtection="1">
      <alignment horizontal="center" vertical="center" wrapText="1"/>
      <protection/>
    </xf>
    <xf numFmtId="177" fontId="0" fillId="0" borderId="83" xfId="0" applyNumberFormat="1" applyFont="1" applyBorder="1" applyAlignment="1">
      <alignment horizontal="center" vertical="center" wrapText="1"/>
    </xf>
    <xf numFmtId="20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4" fontId="0" fillId="0" borderId="16" xfId="56" applyNumberFormat="1" applyFont="1" applyFill="1" applyBorder="1" applyAlignment="1" applyProtection="1">
      <alignment vertical="center" wrapText="1"/>
      <protection/>
    </xf>
    <xf numFmtId="177" fontId="0" fillId="0" borderId="56" xfId="0" applyNumberFormat="1" applyFont="1" applyBorder="1" applyAlignment="1">
      <alignment horizontal="center" vertical="center" wrapText="1"/>
    </xf>
    <xf numFmtId="177" fontId="0" fillId="0" borderId="80" xfId="0" applyNumberFormat="1" applyFont="1" applyBorder="1" applyAlignment="1">
      <alignment horizontal="center" vertical="center" wrapText="1"/>
    </xf>
    <xf numFmtId="20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84" xfId="0" applyNumberFormat="1" applyFont="1" applyBorder="1" applyAlignment="1">
      <alignment horizontal="center" vertical="center" wrapText="1"/>
    </xf>
    <xf numFmtId="20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85" xfId="0" applyFont="1" applyFill="1" applyBorder="1" applyAlignment="1" applyProtection="1">
      <alignment horizontal="justify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4" fontId="0" fillId="0" borderId="87" xfId="56" applyNumberFormat="1" applyFont="1" applyFill="1" applyBorder="1" applyAlignment="1" applyProtection="1">
      <alignment vertical="center" wrapText="1"/>
      <protection/>
    </xf>
    <xf numFmtId="177" fontId="0" fillId="34" borderId="88" xfId="0" applyNumberFormat="1" applyFont="1" applyFill="1" applyBorder="1" applyAlignment="1">
      <alignment horizontal="center" vertical="center" wrapText="1"/>
    </xf>
    <xf numFmtId="177" fontId="6" fillId="34" borderId="86" xfId="0" applyNumberFormat="1" applyFont="1" applyFill="1" applyBorder="1" applyAlignment="1">
      <alignment horizontal="center" vertical="center" wrapText="1"/>
    </xf>
    <xf numFmtId="177" fontId="6" fillId="34" borderId="8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56" applyNumberFormat="1" applyFont="1" applyFill="1" applyBorder="1" applyAlignment="1" applyProtection="1">
      <alignment vertical="center" wrapText="1"/>
      <protection/>
    </xf>
    <xf numFmtId="177" fontId="0" fillId="0" borderId="0" xfId="56" applyNumberFormat="1" applyFont="1" applyFill="1" applyBorder="1" applyAlignment="1" applyProtection="1">
      <alignment horizontal="center" vertical="center" wrapText="1"/>
      <protection/>
    </xf>
    <xf numFmtId="177" fontId="6" fillId="34" borderId="0" xfId="56" applyNumberFormat="1" applyFont="1" applyFill="1" applyBorder="1" applyAlignment="1" applyProtection="1">
      <alignment horizontal="center" vertical="center" wrapText="1"/>
      <protection/>
    </xf>
    <xf numFmtId="177" fontId="0" fillId="34" borderId="0" xfId="0" applyNumberFormat="1" applyFont="1" applyFill="1" applyBorder="1" applyAlignment="1">
      <alignment horizontal="center" vertical="center" wrapText="1"/>
    </xf>
    <xf numFmtId="177" fontId="6" fillId="34" borderId="0" xfId="0" applyNumberFormat="1" applyFont="1" applyFill="1" applyBorder="1" applyAlignment="1">
      <alignment horizontal="center" vertical="center" wrapText="1"/>
    </xf>
    <xf numFmtId="177" fontId="6" fillId="34" borderId="0" xfId="56" applyNumberFormat="1" applyFont="1" applyFill="1" applyBorder="1" applyAlignment="1" applyProtection="1">
      <alignment vertical="center" wrapText="1"/>
      <protection/>
    </xf>
    <xf numFmtId="20" fontId="0" fillId="34" borderId="73" xfId="0" applyNumberFormat="1" applyFont="1" applyFill="1" applyBorder="1" applyAlignment="1" applyProtection="1">
      <alignment horizontal="center" vertical="center" wrapText="1"/>
      <protection/>
    </xf>
    <xf numFmtId="177" fontId="0" fillId="34" borderId="89" xfId="56" applyNumberFormat="1" applyFont="1" applyFill="1" applyBorder="1" applyAlignment="1" applyProtection="1">
      <alignment horizontal="center" vertical="center" wrapText="1"/>
      <protection/>
    </xf>
    <xf numFmtId="20" fontId="0" fillId="0" borderId="90" xfId="0" applyNumberFormat="1" applyFont="1" applyFill="1" applyBorder="1" applyAlignment="1" applyProtection="1">
      <alignment horizontal="right" vertical="center" wrapText="1"/>
      <protection/>
    </xf>
    <xf numFmtId="177" fontId="0" fillId="0" borderId="83" xfId="56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7" fontId="0" fillId="34" borderId="78" xfId="0" applyNumberFormat="1" applyFont="1" applyFill="1" applyBorder="1" applyAlignment="1">
      <alignment horizontal="center" vertical="center" wrapText="1"/>
    </xf>
    <xf numFmtId="177" fontId="6" fillId="34" borderId="7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0" borderId="36" xfId="56" applyNumberFormat="1" applyFont="1" applyFill="1" applyBorder="1" applyAlignment="1" applyProtection="1">
      <alignment vertical="center" wrapText="1"/>
      <protection/>
    </xf>
    <xf numFmtId="177" fontId="6" fillId="34" borderId="20" xfId="56" applyNumberFormat="1" applyFont="1" applyFill="1" applyBorder="1" applyAlignment="1" applyProtection="1">
      <alignment horizontal="center" vertical="center" wrapText="1"/>
      <protection/>
    </xf>
    <xf numFmtId="177" fontId="0" fillId="34" borderId="36" xfId="0" applyNumberFormat="1" applyFont="1" applyFill="1" applyBorder="1" applyAlignment="1">
      <alignment horizontal="center" vertical="center" wrapText="1"/>
    </xf>
    <xf numFmtId="20" fontId="0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35" borderId="25" xfId="0" applyFont="1" applyFill="1" applyBorder="1" applyAlignment="1" applyProtection="1">
      <alignment horizontal="justify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4" fontId="0" fillId="35" borderId="25" xfId="56" applyNumberFormat="1" applyFont="1" applyFill="1" applyBorder="1" applyAlignment="1" applyProtection="1">
      <alignment vertical="center" wrapText="1"/>
      <protection/>
    </xf>
    <xf numFmtId="177" fontId="0" fillId="35" borderId="25" xfId="56" applyNumberFormat="1" applyFont="1" applyFill="1" applyBorder="1" applyAlignment="1" applyProtection="1">
      <alignment horizontal="center" vertical="center" wrapText="1"/>
      <protection/>
    </xf>
    <xf numFmtId="177" fontId="0" fillId="35" borderId="25" xfId="56" applyFont="1" applyFill="1" applyBorder="1" applyAlignment="1">
      <alignment horizontal="center" vertical="center" wrapText="1"/>
    </xf>
    <xf numFmtId="177" fontId="6" fillId="35" borderId="25" xfId="56" applyNumberFormat="1" applyFont="1" applyFill="1" applyBorder="1" applyAlignment="1" applyProtection="1">
      <alignment horizontal="center" vertical="center" wrapText="1"/>
      <protection/>
    </xf>
    <xf numFmtId="177" fontId="6" fillId="34" borderId="24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6" fillId="35" borderId="22" xfId="0" applyFont="1" applyFill="1" applyBorder="1" applyAlignment="1" applyProtection="1">
      <alignment horizontal="center"/>
      <protection/>
    </xf>
    <xf numFmtId="177" fontId="0" fillId="35" borderId="22" xfId="56" applyNumberFormat="1" applyFont="1" applyFill="1" applyBorder="1" applyAlignment="1" applyProtection="1">
      <alignment horizontal="right"/>
      <protection/>
    </xf>
    <xf numFmtId="177" fontId="6" fillId="35" borderId="22" xfId="56" applyNumberFormat="1" applyFont="1" applyFill="1" applyBorder="1" applyAlignment="1" applyProtection="1">
      <alignment horizontal="right"/>
      <protection/>
    </xf>
    <xf numFmtId="177" fontId="6" fillId="35" borderId="23" xfId="56" applyNumberFormat="1" applyFont="1" applyFill="1" applyBorder="1" applyAlignment="1" applyProtection="1">
      <alignment horizontal="center"/>
      <protection/>
    </xf>
    <xf numFmtId="177" fontId="6" fillId="0" borderId="0" xfId="56" applyNumberFormat="1" applyFont="1" applyFill="1" applyBorder="1" applyAlignment="1" applyProtection="1">
      <alignment horizontal="center"/>
      <protection/>
    </xf>
    <xf numFmtId="177" fontId="6" fillId="0" borderId="21" xfId="56" applyNumberFormat="1" applyFont="1" applyFill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center"/>
      <protection/>
    </xf>
    <xf numFmtId="177" fontId="6" fillId="0" borderId="60" xfId="56" applyFont="1" applyFill="1" applyBorder="1" applyAlignment="1" applyProtection="1">
      <alignment/>
      <protection/>
    </xf>
    <xf numFmtId="177" fontId="0" fillId="0" borderId="60" xfId="56" applyFont="1" applyFill="1" applyBorder="1" applyAlignment="1" applyProtection="1">
      <alignment horizontal="center"/>
      <protection/>
    </xf>
    <xf numFmtId="177" fontId="0" fillId="0" borderId="60" xfId="56" applyNumberFormat="1" applyFont="1" applyFill="1" applyBorder="1" applyAlignment="1" applyProtection="1">
      <alignment horizontal="right"/>
      <protection/>
    </xf>
    <xf numFmtId="177" fontId="0" fillId="0" borderId="51" xfId="0" applyNumberFormat="1" applyFont="1" applyBorder="1" applyAlignment="1">
      <alignment horizontal="right"/>
    </xf>
    <xf numFmtId="177" fontId="0" fillId="0" borderId="76" xfId="0" applyNumberFormat="1" applyFont="1" applyBorder="1" applyAlignment="1">
      <alignment horizontal="right"/>
    </xf>
    <xf numFmtId="177" fontId="6" fillId="0" borderId="91" xfId="56" applyNumberFormat="1" applyFont="1" applyFill="1" applyBorder="1" applyAlignment="1" applyProtection="1">
      <alignment/>
      <protection/>
    </xf>
    <xf numFmtId="177" fontId="6" fillId="0" borderId="92" xfId="56" applyFont="1" applyFill="1" applyBorder="1" applyAlignment="1" applyProtection="1">
      <alignment/>
      <protection/>
    </xf>
    <xf numFmtId="177" fontId="0" fillId="0" borderId="92" xfId="56" applyFont="1" applyFill="1" applyBorder="1" applyAlignment="1" applyProtection="1">
      <alignment horizontal="center"/>
      <protection/>
    </xf>
    <xf numFmtId="177" fontId="0" fillId="0" borderId="92" xfId="56" applyNumberFormat="1" applyFont="1" applyFill="1" applyBorder="1" applyAlignment="1" applyProtection="1">
      <alignment horizontal="right"/>
      <protection/>
    </xf>
    <xf numFmtId="177" fontId="0" fillId="0" borderId="0" xfId="56" applyNumberFormat="1" applyFont="1" applyFill="1" applyBorder="1" applyAlignment="1" applyProtection="1">
      <alignment horizontal="right"/>
      <protection/>
    </xf>
    <xf numFmtId="177" fontId="0" fillId="0" borderId="92" xfId="0" applyNumberFormat="1" applyFont="1" applyBorder="1" applyAlignment="1">
      <alignment horizontal="right"/>
    </xf>
    <xf numFmtId="177" fontId="6" fillId="0" borderId="93" xfId="0" applyNumberFormat="1" applyFont="1" applyBorder="1" applyAlignment="1">
      <alignment horizontal="right"/>
    </xf>
    <xf numFmtId="177" fontId="6" fillId="0" borderId="94" xfId="56" applyNumberFormat="1" applyFont="1" applyFill="1" applyBorder="1" applyAlignment="1" applyProtection="1">
      <alignment/>
      <protection/>
    </xf>
    <xf numFmtId="177" fontId="6" fillId="0" borderId="36" xfId="56" applyNumberFormat="1" applyFont="1" applyFill="1" applyBorder="1" applyAlignment="1" applyProtection="1">
      <alignment horizontal="right"/>
      <protection/>
    </xf>
    <xf numFmtId="0" fontId="0" fillId="0" borderId="92" xfId="0" applyFont="1" applyBorder="1" applyAlignment="1">
      <alignment horizontal="right"/>
    </xf>
    <xf numFmtId="0" fontId="0" fillId="0" borderId="95" xfId="0" applyFont="1" applyBorder="1" applyAlignment="1">
      <alignment horizontal="right"/>
    </xf>
    <xf numFmtId="177" fontId="6" fillId="0" borderId="93" xfId="56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177" fontId="6" fillId="0" borderId="36" xfId="56" applyFont="1" applyFill="1" applyBorder="1" applyAlignment="1" applyProtection="1">
      <alignment/>
      <protection/>
    </xf>
    <xf numFmtId="177" fontId="0" fillId="0" borderId="36" xfId="56" applyFont="1" applyFill="1" applyBorder="1" applyAlignment="1" applyProtection="1">
      <alignment horizontal="center"/>
      <protection/>
    </xf>
    <xf numFmtId="177" fontId="0" fillId="0" borderId="36" xfId="56" applyNumberFormat="1" applyFont="1" applyFill="1" applyBorder="1" applyAlignment="1" applyProtection="1">
      <alignment horizontal="right"/>
      <protection/>
    </xf>
    <xf numFmtId="177" fontId="6" fillId="0" borderId="0" xfId="56" applyNumberFormat="1" applyFont="1" applyFill="1" applyBorder="1" applyAlignment="1" applyProtection="1">
      <alignment horizontal="right"/>
      <protection/>
    </xf>
    <xf numFmtId="177" fontId="0" fillId="0" borderId="36" xfId="0" applyNumberFormat="1" applyFont="1" applyBorder="1" applyAlignment="1">
      <alignment horizontal="right"/>
    </xf>
    <xf numFmtId="177" fontId="0" fillId="0" borderId="49" xfId="0" applyNumberFormat="1" applyFont="1" applyBorder="1" applyAlignment="1">
      <alignment horizontal="right"/>
    </xf>
    <xf numFmtId="177" fontId="6" fillId="0" borderId="96" xfId="56" applyNumberFormat="1" applyFont="1" applyFill="1" applyBorder="1" applyAlignment="1" applyProtection="1">
      <alignment/>
      <protection/>
    </xf>
    <xf numFmtId="10" fontId="0" fillId="34" borderId="0" xfId="54" applyNumberFormat="1" applyFont="1" applyFill="1" applyBorder="1" applyAlignment="1" applyProtection="1">
      <alignment horizontal="center"/>
      <protection/>
    </xf>
    <xf numFmtId="177" fontId="6" fillId="34" borderId="22" xfId="56" applyFont="1" applyFill="1" applyBorder="1" applyAlignment="1" applyProtection="1">
      <alignment/>
      <protection/>
    </xf>
    <xf numFmtId="177" fontId="0" fillId="34" borderId="22" xfId="56" applyFont="1" applyFill="1" applyBorder="1" applyAlignment="1" applyProtection="1">
      <alignment/>
      <protection/>
    </xf>
    <xf numFmtId="177" fontId="0" fillId="34" borderId="22" xfId="56" applyNumberFormat="1" applyFont="1" applyFill="1" applyBorder="1" applyAlignment="1" applyProtection="1">
      <alignment/>
      <protection/>
    </xf>
    <xf numFmtId="177" fontId="0" fillId="34" borderId="22" xfId="56" applyNumberFormat="1" applyFont="1" applyFill="1" applyBorder="1" applyAlignment="1" applyProtection="1">
      <alignment/>
      <protection/>
    </xf>
    <xf numFmtId="177" fontId="6" fillId="34" borderId="23" xfId="56" applyNumberFormat="1" applyFont="1" applyFill="1" applyBorder="1" applyAlignment="1" applyProtection="1">
      <alignment/>
      <protection/>
    </xf>
    <xf numFmtId="177" fontId="6" fillId="34" borderId="12" xfId="56" applyNumberFormat="1" applyFont="1" applyFill="1" applyBorder="1" applyAlignment="1" applyProtection="1">
      <alignment/>
      <protection/>
    </xf>
    <xf numFmtId="177" fontId="6" fillId="34" borderId="12" xfId="0" applyNumberFormat="1" applyFont="1" applyFill="1" applyBorder="1" applyAlignment="1">
      <alignment horizontal="right"/>
    </xf>
    <xf numFmtId="177" fontId="6" fillId="34" borderId="12" xfId="56" applyNumberFormat="1" applyFont="1" applyFill="1" applyBorder="1" applyAlignment="1" applyProtection="1">
      <alignment/>
      <protection/>
    </xf>
    <xf numFmtId="177" fontId="83" fillId="0" borderId="25" xfId="56" applyFont="1" applyBorder="1" applyAlignment="1">
      <alignment/>
    </xf>
    <xf numFmtId="177" fontId="83" fillId="0" borderId="0" xfId="56" applyFont="1" applyAlignment="1">
      <alignment/>
    </xf>
    <xf numFmtId="0" fontId="0" fillId="0" borderId="12" xfId="0" applyFont="1" applyBorder="1" applyAlignment="1" applyProtection="1">
      <alignment/>
      <protection/>
    </xf>
    <xf numFmtId="177" fontId="16" fillId="0" borderId="12" xfId="0" applyNumberFormat="1" applyFont="1" applyBorder="1" applyAlignment="1" applyProtection="1">
      <alignment/>
      <protection/>
    </xf>
    <xf numFmtId="177" fontId="16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77" fontId="0" fillId="0" borderId="12" xfId="0" applyNumberFormat="1" applyFont="1" applyBorder="1" applyAlignment="1" applyProtection="1">
      <alignment horizontal="right"/>
      <protection/>
    </xf>
    <xf numFmtId="177" fontId="16" fillId="0" borderId="12" xfId="56" applyFont="1" applyBorder="1" applyAlignment="1" applyProtection="1">
      <alignment/>
      <protection/>
    </xf>
    <xf numFmtId="177" fontId="0" fillId="34" borderId="12" xfId="56" applyFont="1" applyFill="1" applyBorder="1" applyAlignment="1" applyProtection="1">
      <alignment vertical="center" wrapText="1"/>
      <protection/>
    </xf>
    <xf numFmtId="4" fontId="3" fillId="35" borderId="31" xfId="51" applyNumberFormat="1" applyFont="1" applyFill="1" applyBorder="1" applyAlignment="1">
      <alignment vertical="center"/>
      <protection/>
    </xf>
    <xf numFmtId="4" fontId="3" fillId="35" borderId="46" xfId="52" applyNumberFormat="1" applyFont="1" applyFill="1" applyBorder="1" applyAlignment="1">
      <alignment vertical="center"/>
      <protection/>
    </xf>
    <xf numFmtId="4" fontId="3" fillId="35" borderId="54" xfId="52" applyNumberFormat="1" applyFont="1" applyFill="1" applyBorder="1" applyAlignment="1">
      <alignment vertical="center"/>
      <protection/>
    </xf>
    <xf numFmtId="0" fontId="3" fillId="0" borderId="0" xfId="0" applyFont="1" applyAlignment="1" applyProtection="1">
      <alignment/>
      <protection/>
    </xf>
    <xf numFmtId="4" fontId="3" fillId="35" borderId="0" xfId="52" applyNumberFormat="1" applyFont="1" applyFill="1" applyBorder="1" applyAlignment="1">
      <alignment vertical="center"/>
      <protection/>
    </xf>
    <xf numFmtId="4" fontId="3" fillId="35" borderId="49" xfId="52" applyNumberFormat="1" applyFont="1" applyFill="1" applyBorder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3" fillId="35" borderId="49" xfId="0" applyFont="1" applyFill="1" applyBorder="1" applyAlignment="1">
      <alignment vertical="center"/>
    </xf>
    <xf numFmtId="0" fontId="3" fillId="35" borderId="97" xfId="0" applyFont="1" applyFill="1" applyBorder="1" applyAlignment="1" applyProtection="1">
      <alignment/>
      <protection/>
    </xf>
    <xf numFmtId="0" fontId="3" fillId="35" borderId="98" xfId="0" applyFont="1" applyFill="1" applyBorder="1" applyAlignment="1" applyProtection="1">
      <alignment/>
      <protection/>
    </xf>
    <xf numFmtId="0" fontId="3" fillId="35" borderId="99" xfId="0" applyFont="1" applyFill="1" applyBorder="1" applyAlignment="1" applyProtection="1">
      <alignment/>
      <protection/>
    </xf>
    <xf numFmtId="0" fontId="3" fillId="35" borderId="100" xfId="0" applyFont="1" applyFill="1" applyBorder="1" applyAlignment="1" applyProtection="1">
      <alignment/>
      <protection/>
    </xf>
    <xf numFmtId="0" fontId="3" fillId="35" borderId="101" xfId="0" applyFont="1" applyFill="1" applyBorder="1" applyAlignment="1" applyProtection="1">
      <alignment/>
      <protection/>
    </xf>
    <xf numFmtId="0" fontId="3" fillId="35" borderId="31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3" fillId="35" borderId="49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5" borderId="53" xfId="0" applyFont="1" applyFill="1" applyBorder="1" applyAlignment="1" applyProtection="1">
      <alignment/>
      <protection/>
    </xf>
    <xf numFmtId="0" fontId="14" fillId="35" borderId="46" xfId="0" applyFont="1" applyFill="1" applyBorder="1" applyAlignment="1" applyProtection="1">
      <alignment horizontal="center" vertical="center"/>
      <protection/>
    </xf>
    <xf numFmtId="0" fontId="3" fillId="35" borderId="5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/>
      <protection/>
    </xf>
    <xf numFmtId="0" fontId="8" fillId="36" borderId="12" xfId="0" applyFon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10" fontId="35" fillId="35" borderId="12" xfId="54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 quotePrefix="1">
      <alignment vertical="center"/>
      <protection/>
    </xf>
    <xf numFmtId="10" fontId="8" fillId="35" borderId="0" xfId="0" applyNumberFormat="1" applyFont="1" applyFill="1" applyBorder="1" applyAlignment="1" applyProtection="1">
      <alignment horizontal="center" vertical="center"/>
      <protection/>
    </xf>
    <xf numFmtId="10" fontId="35" fillId="35" borderId="0" xfId="54" applyNumberFormat="1" applyFont="1" applyFill="1" applyBorder="1" applyAlignment="1" applyProtection="1">
      <alignment vertical="center" wrapText="1"/>
      <protection/>
    </xf>
    <xf numFmtId="10" fontId="8" fillId="35" borderId="0" xfId="54" applyNumberFormat="1" applyFont="1" applyFill="1" applyBorder="1" applyAlignment="1" applyProtection="1">
      <alignment vertical="center" wrapText="1"/>
      <protection/>
    </xf>
    <xf numFmtId="204" fontId="38" fillId="35" borderId="0" xfId="0" applyNumberFormat="1" applyFont="1" applyFill="1" applyBorder="1" applyAlignment="1" applyProtection="1">
      <alignment/>
      <protection/>
    </xf>
    <xf numFmtId="10" fontId="3" fillId="0" borderId="0" xfId="54" applyNumberFormat="1" applyFont="1" applyAlignment="1" applyProtection="1">
      <alignment/>
      <protection/>
    </xf>
    <xf numFmtId="0" fontId="3" fillId="35" borderId="52" xfId="0" applyFont="1" applyFill="1" applyBorder="1" applyAlignment="1" applyProtection="1">
      <alignment/>
      <protection/>
    </xf>
    <xf numFmtId="0" fontId="3" fillId="35" borderId="51" xfId="0" applyFont="1" applyFill="1" applyBorder="1" applyAlignment="1" applyProtection="1">
      <alignment/>
      <protection/>
    </xf>
    <xf numFmtId="0" fontId="3" fillId="35" borderId="46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10" fontId="3" fillId="35" borderId="0" xfId="54" applyNumberFormat="1" applyFont="1" applyFill="1" applyBorder="1" applyAlignment="1" applyProtection="1">
      <alignment horizontal="center" vertical="center" wrapText="1"/>
      <protection/>
    </xf>
    <xf numFmtId="10" fontId="36" fillId="35" borderId="41" xfId="54" applyNumberFormat="1" applyFont="1" applyFill="1" applyBorder="1" applyAlignment="1" applyProtection="1">
      <alignment horizontal="center" vertical="center" wrapText="1"/>
      <protection locked="0"/>
    </xf>
    <xf numFmtId="10" fontId="3" fillId="35" borderId="49" xfId="0" applyNumberFormat="1" applyFont="1" applyFill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0" fontId="36" fillId="35" borderId="48" xfId="54" applyNumberFormat="1" applyFont="1" applyFill="1" applyBorder="1" applyAlignment="1" applyProtection="1">
      <alignment horizontal="center" vertical="center" wrapText="1"/>
      <protection locked="0"/>
    </xf>
    <xf numFmtId="10" fontId="36" fillId="35" borderId="27" xfId="54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/>
    </xf>
    <xf numFmtId="204" fontId="8" fillId="35" borderId="0" xfId="54" applyNumberFormat="1" applyFont="1" applyFill="1" applyBorder="1" applyAlignment="1" applyProtection="1">
      <alignment horizontal="center" vertical="center" wrapText="1"/>
      <protection/>
    </xf>
    <xf numFmtId="204" fontId="3" fillId="0" borderId="0" xfId="0" applyNumberFormat="1" applyFont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0" fontId="38" fillId="35" borderId="0" xfId="54" applyNumberFormat="1" applyFont="1" applyFill="1" applyBorder="1" applyAlignment="1" applyProtection="1">
      <alignment horizontal="center"/>
      <protection/>
    </xf>
    <xf numFmtId="0" fontId="40" fillId="35" borderId="0" xfId="0" applyFont="1" applyFill="1" applyBorder="1" applyAlignment="1" applyProtection="1">
      <alignment horizontal="center"/>
      <protection/>
    </xf>
    <xf numFmtId="0" fontId="41" fillId="35" borderId="0" xfId="0" applyFont="1" applyFill="1" applyBorder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left" vertical="center" wrapText="1"/>
      <protection/>
    </xf>
    <xf numFmtId="10" fontId="42" fillId="35" borderId="0" xfId="54" applyNumberFormat="1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wrapText="1"/>
      <protection/>
    </xf>
    <xf numFmtId="0" fontId="8" fillId="35" borderId="0" xfId="0" applyFont="1" applyFill="1" applyBorder="1" applyAlignment="1" applyProtection="1">
      <alignment wrapText="1"/>
      <protection/>
    </xf>
    <xf numFmtId="0" fontId="41" fillId="35" borderId="50" xfId="0" applyFont="1" applyFill="1" applyBorder="1" applyAlignment="1" applyProtection="1">
      <alignment horizontal="left" vertical="center" wrapText="1"/>
      <protection/>
    </xf>
    <xf numFmtId="10" fontId="42" fillId="35" borderId="50" xfId="54" applyNumberFormat="1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0" fontId="3" fillId="0" borderId="0" xfId="0" applyNumberFormat="1" applyFont="1" applyAlignment="1" applyProtection="1">
      <alignment horizontal="center"/>
      <protection/>
    </xf>
    <xf numFmtId="10" fontId="3" fillId="0" borderId="0" xfId="54" applyNumberFormat="1" applyFont="1" applyAlignment="1" applyProtection="1">
      <alignment horizontal="center"/>
      <protection/>
    </xf>
    <xf numFmtId="202" fontId="3" fillId="0" borderId="0" xfId="0" applyNumberFormat="1" applyFont="1" applyAlignment="1" applyProtection="1">
      <alignment horizontal="center"/>
      <protection/>
    </xf>
    <xf numFmtId="9" fontId="3" fillId="0" borderId="0" xfId="54" applyFont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3" fillId="0" borderId="94" xfId="0" applyFont="1" applyBorder="1" applyAlignment="1" applyProtection="1">
      <alignment vertical="top" wrapText="1"/>
      <protection/>
    </xf>
    <xf numFmtId="10" fontId="43" fillId="0" borderId="51" xfId="0" applyNumberFormat="1" applyFont="1" applyBorder="1" applyAlignment="1" applyProtection="1">
      <alignment horizontal="center" vertical="top" wrapText="1"/>
      <protection/>
    </xf>
    <xf numFmtId="0" fontId="3" fillId="0" borderId="52" xfId="0" applyFont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0" fontId="43" fillId="0" borderId="93" xfId="0" applyFont="1" applyBorder="1" applyAlignment="1" applyProtection="1">
      <alignment vertical="top" wrapText="1"/>
      <protection/>
    </xf>
    <xf numFmtId="10" fontId="43" fillId="0" borderId="102" xfId="0" applyNumberFormat="1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7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10" fontId="43" fillId="0" borderId="12" xfId="0" applyNumberFormat="1" applyFont="1" applyBorder="1" applyAlignment="1" applyProtection="1">
      <alignment horizontal="center" vertical="top" wrapText="1"/>
      <protection/>
    </xf>
    <xf numFmtId="0" fontId="43" fillId="0" borderId="12" xfId="0" applyFont="1" applyBorder="1" applyAlignment="1" applyProtection="1">
      <alignment vertical="top" wrapText="1"/>
      <protection/>
    </xf>
    <xf numFmtId="0" fontId="43" fillId="0" borderId="93" xfId="0" applyFont="1" applyBorder="1" applyAlignment="1" applyProtection="1">
      <alignment horizontal="center" vertical="top" wrapText="1"/>
      <protection/>
    </xf>
    <xf numFmtId="0" fontId="43" fillId="0" borderId="102" xfId="0" applyFont="1" applyBorder="1" applyAlignment="1" applyProtection="1">
      <alignment horizontal="center" vertical="top" wrapText="1"/>
      <protection/>
    </xf>
    <xf numFmtId="0" fontId="0" fillId="34" borderId="3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18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184" fontId="14" fillId="0" borderId="12" xfId="47" applyNumberFormat="1" applyFont="1" applyFill="1" applyBorder="1" applyAlignment="1" applyProtection="1">
      <alignment horizontal="right" vertical="center"/>
      <protection/>
    </xf>
    <xf numFmtId="176" fontId="14" fillId="0" borderId="12" xfId="47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77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1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18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1" fillId="33" borderId="29" xfId="0" applyFont="1" applyFill="1" applyBorder="1" applyAlignment="1" applyProtection="1">
      <alignment horizontal="left" vertical="top" wrapText="1"/>
      <protection locked="0"/>
    </xf>
    <xf numFmtId="0" fontId="11" fillId="33" borderId="30" xfId="0" applyFont="1" applyFill="1" applyBorder="1" applyAlignment="1" applyProtection="1">
      <alignment horizontal="left" vertical="top" wrapText="1"/>
      <protection locked="0"/>
    </xf>
    <xf numFmtId="0" fontId="15" fillId="0" borderId="28" xfId="0" applyFont="1" applyFill="1" applyBorder="1" applyAlignment="1" applyProtection="1">
      <alignment horizontal="right" vertical="center"/>
      <protection/>
    </xf>
    <xf numFmtId="0" fontId="15" fillId="0" borderId="29" xfId="0" applyFont="1" applyFill="1" applyBorder="1" applyAlignment="1" applyProtection="1">
      <alignment horizontal="right" vertical="center"/>
      <protection/>
    </xf>
    <xf numFmtId="0" fontId="15" fillId="0" borderId="30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14" fontId="4" fillId="0" borderId="28" xfId="0" applyNumberFormat="1" applyFont="1" applyFill="1" applyBorder="1" applyAlignment="1" applyProtection="1">
      <alignment horizontal="justify" vertical="center"/>
      <protection/>
    </xf>
    <xf numFmtId="0" fontId="3" fillId="0" borderId="29" xfId="0" applyFont="1" applyBorder="1" applyAlignment="1" applyProtection="1">
      <alignment horizontal="justify" vertical="center"/>
      <protection/>
    </xf>
    <xf numFmtId="0" fontId="3" fillId="0" borderId="30" xfId="0" applyFont="1" applyBorder="1" applyAlignment="1" applyProtection="1">
      <alignment horizontal="justify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left" vertical="top" wrapText="1"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0" borderId="30" xfId="0" applyFont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03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34" borderId="12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177" fontId="5" fillId="34" borderId="24" xfId="56" applyNumberFormat="1" applyFont="1" applyFill="1" applyBorder="1" applyAlignment="1">
      <alignment horizontal="center" vertical="center"/>
    </xf>
    <xf numFmtId="177" fontId="5" fillId="34" borderId="25" xfId="56" applyNumberFormat="1" applyFont="1" applyFill="1" applyBorder="1" applyAlignment="1">
      <alignment horizontal="center" vertical="center"/>
    </xf>
    <xf numFmtId="177" fontId="5" fillId="34" borderId="21" xfId="56" applyNumberFormat="1" applyFont="1" applyFill="1" applyBorder="1" applyAlignment="1">
      <alignment horizontal="center" vertical="center"/>
    </xf>
    <xf numFmtId="177" fontId="5" fillId="34" borderId="22" xfId="56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177" fontId="17" fillId="0" borderId="28" xfId="56" applyFont="1" applyFill="1" applyBorder="1" applyAlignment="1" applyProtection="1">
      <alignment horizontal="center" vertical="center"/>
      <protection/>
    </xf>
    <xf numFmtId="177" fontId="17" fillId="0" borderId="30" xfId="56" applyFont="1" applyFill="1" applyBorder="1" applyAlignment="1" applyProtection="1">
      <alignment horizontal="center" vertical="center"/>
      <protection/>
    </xf>
    <xf numFmtId="177" fontId="17" fillId="0" borderId="12" xfId="56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0" fontId="27" fillId="34" borderId="28" xfId="0" applyFont="1" applyFill="1" applyBorder="1" applyAlignment="1" applyProtection="1">
      <alignment horizontal="left" vertical="top" wrapText="1"/>
      <protection locked="0"/>
    </xf>
    <xf numFmtId="0" fontId="27" fillId="34" borderId="29" xfId="0" applyFont="1" applyFill="1" applyBorder="1" applyAlignment="1" applyProtection="1">
      <alignment horizontal="left" vertical="top" wrapText="1"/>
      <protection locked="0"/>
    </xf>
    <xf numFmtId="0" fontId="30" fillId="34" borderId="29" xfId="0" applyFont="1" applyFill="1" applyBorder="1" applyAlignment="1" applyProtection="1">
      <alignment horizontal="left" vertical="top" wrapText="1"/>
      <protection locked="0"/>
    </xf>
    <xf numFmtId="0" fontId="30" fillId="34" borderId="3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18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6" fillId="0" borderId="41" xfId="0" applyFont="1" applyFill="1" applyBorder="1" applyAlignment="1" applyProtection="1">
      <alignment horizontal="right" vertical="center" wrapText="1"/>
      <protection/>
    </xf>
    <xf numFmtId="0" fontId="6" fillId="0" borderId="48" xfId="0" applyFont="1" applyFill="1" applyBorder="1" applyAlignment="1" applyProtection="1">
      <alignment horizontal="right" vertical="center" wrapText="1"/>
      <protection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20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84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 applyProtection="1">
      <alignment horizontal="left" vertical="center"/>
      <protection/>
    </xf>
    <xf numFmtId="0" fontId="20" fillId="0" borderId="103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right" vertical="center" wrapText="1"/>
      <protection/>
    </xf>
    <xf numFmtId="0" fontId="20" fillId="0" borderId="28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right" vertical="center" wrapText="1"/>
      <protection/>
    </xf>
    <xf numFmtId="0" fontId="25" fillId="0" borderId="12" xfId="0" applyFont="1" applyFill="1" applyBorder="1" applyAlignment="1" applyProtection="1">
      <alignment horizontal="right" vertical="center" wrapText="1"/>
      <protection/>
    </xf>
    <xf numFmtId="177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/>
    </xf>
    <xf numFmtId="184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177" fontId="2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left" vertical="center"/>
      <protection/>
    </xf>
    <xf numFmtId="0" fontId="20" fillId="0" borderId="92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20" fillId="34" borderId="28" xfId="0" applyFont="1" applyFill="1" applyBorder="1" applyAlignment="1" applyProtection="1">
      <alignment horizontal="left" vertical="center"/>
      <protection/>
    </xf>
    <xf numFmtId="0" fontId="20" fillId="34" borderId="29" xfId="0" applyFont="1" applyFill="1" applyBorder="1" applyAlignment="1" applyProtection="1">
      <alignment horizontal="left" vertical="center"/>
      <protection/>
    </xf>
    <xf numFmtId="0" fontId="20" fillId="34" borderId="3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20" fillId="0" borderId="28" xfId="0" applyFont="1" applyFill="1" applyBorder="1" applyAlignment="1" applyProtection="1">
      <alignment horizontal="left" vertical="top" wrapText="1"/>
      <protection/>
    </xf>
    <xf numFmtId="0" fontId="6" fillId="0" borderId="29" xfId="0" applyFont="1" applyBorder="1" applyAlignment="1" applyProtection="1">
      <alignment horizontal="left" vertical="top" wrapText="1"/>
      <protection/>
    </xf>
    <xf numFmtId="0" fontId="6" fillId="0" borderId="30" xfId="0" applyFont="1" applyBorder="1" applyAlignment="1" applyProtection="1">
      <alignment horizontal="left" vertical="top" wrapText="1"/>
      <protection/>
    </xf>
    <xf numFmtId="0" fontId="17" fillId="0" borderId="22" xfId="0" applyFont="1" applyFill="1" applyBorder="1" applyAlignment="1" applyProtection="1">
      <alignment horizontal="center" wrapText="1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 vertical="center"/>
      <protection/>
    </xf>
    <xf numFmtId="0" fontId="20" fillId="0" borderId="29" xfId="0" applyFont="1" applyBorder="1" applyAlignment="1" applyProtection="1">
      <alignment vertical="center"/>
      <protection/>
    </xf>
    <xf numFmtId="0" fontId="20" fillId="34" borderId="29" xfId="0" applyFont="1" applyFill="1" applyBorder="1" applyAlignment="1" applyProtection="1">
      <alignment vertical="center"/>
      <protection/>
    </xf>
    <xf numFmtId="0" fontId="6" fillId="34" borderId="29" xfId="0" applyFont="1" applyFill="1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justify" vertical="center"/>
      <protection/>
    </xf>
    <xf numFmtId="0" fontId="0" fillId="0" borderId="25" xfId="0" applyFont="1" applyBorder="1" applyAlignment="1">
      <alignment horizontal="justify"/>
    </xf>
    <xf numFmtId="0" fontId="0" fillId="0" borderId="26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20" fillId="0" borderId="24" xfId="0" applyFont="1" applyFill="1" applyBorder="1" applyAlignment="1" applyProtection="1">
      <alignment horizontal="left" vertical="center"/>
      <protection/>
    </xf>
    <xf numFmtId="0" fontId="20" fillId="0" borderId="25" xfId="0" applyFont="1" applyFill="1" applyBorder="1" applyAlignment="1" applyProtection="1">
      <alignment horizontal="left" vertical="center"/>
      <protection/>
    </xf>
    <xf numFmtId="0" fontId="20" fillId="0" borderId="26" xfId="0" applyFont="1" applyFill="1" applyBorder="1" applyAlignment="1" applyProtection="1">
      <alignment horizontal="left" vertical="center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 applyProtection="1">
      <alignment horizontal="left" vertical="top" wrapText="1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14" fontId="0" fillId="0" borderId="28" xfId="0" applyNumberFormat="1" applyFont="1" applyFill="1" applyBorder="1" applyAlignment="1" applyProtection="1">
      <alignment horizontal="justify" vertical="center"/>
      <protection/>
    </xf>
    <xf numFmtId="0" fontId="0" fillId="0" borderId="29" xfId="0" applyFont="1" applyBorder="1" applyAlignment="1" applyProtection="1">
      <alignment horizontal="justify" vertical="center"/>
      <protection/>
    </xf>
    <xf numFmtId="0" fontId="0" fillId="0" borderId="30" xfId="0" applyFont="1" applyBorder="1" applyAlignment="1" applyProtection="1">
      <alignment horizontal="justify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77" fontId="0" fillId="0" borderId="41" xfId="0" applyNumberFormat="1" applyFont="1" applyBorder="1" applyAlignment="1">
      <alignment horizontal="center" vertical="center" wrapText="1"/>
    </xf>
    <xf numFmtId="177" fontId="0" fillId="0" borderId="27" xfId="0" applyNumberFormat="1" applyFont="1" applyBorder="1" applyAlignment="1">
      <alignment horizontal="center" vertical="center" wrapText="1"/>
    </xf>
    <xf numFmtId="177" fontId="6" fillId="34" borderId="41" xfId="56" applyNumberFormat="1" applyFont="1" applyFill="1" applyBorder="1" applyAlignment="1" applyProtection="1">
      <alignment horizontal="center" vertical="center" wrapText="1"/>
      <protection/>
    </xf>
    <xf numFmtId="177" fontId="6" fillId="34" borderId="27" xfId="56" applyNumberFormat="1" applyFont="1" applyFill="1" applyBorder="1" applyAlignment="1" applyProtection="1">
      <alignment horizontal="center" vertical="center" wrapText="1"/>
      <protection/>
    </xf>
    <xf numFmtId="177" fontId="0" fillId="35" borderId="103" xfId="56" applyNumberFormat="1" applyFont="1" applyFill="1" applyBorder="1" applyAlignment="1" applyProtection="1">
      <alignment horizontal="center" vertical="center" wrapText="1"/>
      <protection/>
    </xf>
    <xf numFmtId="177" fontId="0" fillId="35" borderId="17" xfId="56" applyNumberFormat="1" applyFont="1" applyFill="1" applyBorder="1" applyAlignment="1" applyProtection="1">
      <alignment horizontal="center" vertical="center" wrapText="1"/>
      <protection/>
    </xf>
    <xf numFmtId="177" fontId="6" fillId="0" borderId="28" xfId="56" applyNumberFormat="1" applyFont="1" applyFill="1" applyBorder="1" applyAlignment="1" applyProtection="1">
      <alignment horizontal="center"/>
      <protection/>
    </xf>
    <xf numFmtId="177" fontId="6" fillId="0" borderId="30" xfId="56" applyNumberFormat="1" applyFont="1" applyFill="1" applyBorder="1" applyAlignment="1" applyProtection="1">
      <alignment horizontal="center"/>
      <protection/>
    </xf>
    <xf numFmtId="177" fontId="0" fillId="0" borderId="14" xfId="56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177" fontId="6" fillId="34" borderId="14" xfId="56" applyNumberFormat="1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177" fontId="0" fillId="0" borderId="104" xfId="56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177" fontId="0" fillId="34" borderId="13" xfId="56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177" fontId="6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>
      <alignment horizontal="right"/>
    </xf>
    <xf numFmtId="177" fontId="6" fillId="35" borderId="22" xfId="56" applyNumberFormat="1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>
      <alignment horizontal="right"/>
    </xf>
    <xf numFmtId="177" fontId="0" fillId="35" borderId="25" xfId="56" applyNumberFormat="1" applyFont="1" applyFill="1" applyBorder="1" applyAlignment="1" applyProtection="1">
      <alignment horizontal="center" vertical="center" wrapText="1"/>
      <protection/>
    </xf>
    <xf numFmtId="177" fontId="0" fillId="34" borderId="26" xfId="56" applyNumberFormat="1" applyFont="1" applyFill="1" applyBorder="1" applyAlignment="1" applyProtection="1">
      <alignment horizontal="center" vertical="center" wrapText="1"/>
      <protection/>
    </xf>
    <xf numFmtId="177" fontId="6" fillId="34" borderId="12" xfId="56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177" fontId="0" fillId="0" borderId="12" xfId="56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77" fontId="6" fillId="34" borderId="43" xfId="56" applyNumberFormat="1" applyFont="1" applyFill="1" applyBorder="1" applyAlignment="1" applyProtection="1">
      <alignment horizontal="center" vertical="center" wrapText="1"/>
      <protection/>
    </xf>
    <xf numFmtId="0" fontId="6" fillId="34" borderId="4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7" fontId="6" fillId="0" borderId="60" xfId="56" applyNumberFormat="1" applyFont="1" applyFill="1" applyBorder="1" applyAlignment="1" applyProtection="1">
      <alignment horizontal="right"/>
      <protection/>
    </xf>
    <xf numFmtId="0" fontId="0" fillId="0" borderId="60" xfId="0" applyFont="1" applyBorder="1" applyAlignment="1">
      <alignment horizontal="right"/>
    </xf>
    <xf numFmtId="177" fontId="0" fillId="0" borderId="16" xfId="56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177" fontId="0" fillId="0" borderId="87" xfId="56" applyNumberFormat="1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center" wrapText="1"/>
    </xf>
    <xf numFmtId="177" fontId="6" fillId="34" borderId="105" xfId="56" applyNumberFormat="1" applyFont="1" applyFill="1" applyBorder="1" applyAlignment="1" applyProtection="1">
      <alignment horizontal="center" vertical="center" wrapText="1"/>
      <protection/>
    </xf>
    <xf numFmtId="0" fontId="6" fillId="34" borderId="105" xfId="0" applyFont="1" applyFill="1" applyBorder="1" applyAlignment="1">
      <alignment horizontal="center" vertical="center" wrapText="1"/>
    </xf>
    <xf numFmtId="177" fontId="0" fillId="34" borderId="16" xfId="56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>
      <alignment horizontal="center" vertical="center" wrapText="1"/>
    </xf>
    <xf numFmtId="177" fontId="6" fillId="34" borderId="16" xfId="56" applyNumberFormat="1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177" fontId="6" fillId="0" borderId="106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77" fontId="6" fillId="0" borderId="107" xfId="0" applyNumberFormat="1" applyFont="1" applyBorder="1" applyAlignment="1">
      <alignment horizontal="center" vertical="center" wrapText="1"/>
    </xf>
    <xf numFmtId="0" fontId="6" fillId="0" borderId="108" xfId="0" applyFont="1" applyFill="1" applyBorder="1" applyAlignment="1" applyProtection="1">
      <alignment/>
      <protection/>
    </xf>
    <xf numFmtId="0" fontId="0" fillId="0" borderId="59" xfId="0" applyFont="1" applyBorder="1" applyAlignment="1">
      <alignment/>
    </xf>
    <xf numFmtId="177" fontId="6" fillId="0" borderId="40" xfId="0" applyNumberFormat="1" applyFont="1" applyFill="1" applyBorder="1" applyAlignment="1" applyProtection="1">
      <alignment horizontal="center"/>
      <protection/>
    </xf>
    <xf numFmtId="177" fontId="0" fillId="0" borderId="58" xfId="0" applyNumberFormat="1" applyFont="1" applyBorder="1" applyAlignment="1">
      <alignment horizontal="center"/>
    </xf>
    <xf numFmtId="0" fontId="6" fillId="0" borderId="106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177" fontId="6" fillId="0" borderId="39" xfId="0" applyNumberFormat="1" applyFont="1" applyFill="1" applyBorder="1" applyAlignment="1" applyProtection="1">
      <alignment horizontal="center" vertical="center"/>
      <protection/>
    </xf>
    <xf numFmtId="177" fontId="6" fillId="0" borderId="37" xfId="0" applyNumberFormat="1" applyFont="1" applyFill="1" applyBorder="1" applyAlignment="1" applyProtection="1">
      <alignment horizontal="center" vertical="center"/>
      <protection/>
    </xf>
    <xf numFmtId="177" fontId="6" fillId="0" borderId="106" xfId="0" applyNumberFormat="1" applyFont="1" applyFill="1" applyBorder="1" applyAlignment="1" applyProtection="1">
      <alignment horizontal="center" vertical="center" wrapText="1"/>
      <protection/>
    </xf>
    <xf numFmtId="177" fontId="6" fillId="0" borderId="107" xfId="0" applyNumberFormat="1" applyFont="1" applyFill="1" applyBorder="1" applyAlignment="1" applyProtection="1">
      <alignment horizontal="center" vertical="center" wrapText="1"/>
      <protection/>
    </xf>
    <xf numFmtId="177" fontId="6" fillId="0" borderId="109" xfId="0" applyNumberFormat="1" applyFont="1" applyFill="1" applyBorder="1" applyAlignment="1" applyProtection="1">
      <alignment horizontal="center" vertical="center" wrapText="1"/>
      <protection/>
    </xf>
    <xf numFmtId="177" fontId="0" fillId="0" borderId="110" xfId="0" applyNumberFormat="1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177" fontId="6" fillId="0" borderId="109" xfId="0" applyNumberFormat="1" applyFont="1" applyFill="1" applyBorder="1" applyAlignment="1" applyProtection="1">
      <alignment horizontal="center" vertical="center"/>
      <protection/>
    </xf>
    <xf numFmtId="177" fontId="0" fillId="0" borderId="110" xfId="0" applyNumberFormat="1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177" fontId="6" fillId="34" borderId="11" xfId="56" applyFont="1" applyFill="1" applyBorder="1" applyAlignment="1">
      <alignment horizontal="center"/>
    </xf>
    <xf numFmtId="177" fontId="6" fillId="34" borderId="0" xfId="56" applyFont="1" applyFill="1" applyBorder="1" applyAlignment="1">
      <alignment horizontal="center"/>
    </xf>
    <xf numFmtId="0" fontId="6" fillId="34" borderId="12" xfId="0" applyFont="1" applyFill="1" applyBorder="1" applyAlignment="1">
      <alignment horizontal="left"/>
    </xf>
    <xf numFmtId="0" fontId="34" fillId="35" borderId="113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203" fontId="35" fillId="36" borderId="28" xfId="56" applyNumberFormat="1" applyFont="1" applyFill="1" applyBorder="1" applyAlignment="1" applyProtection="1">
      <alignment horizontal="left" vertical="center" wrapText="1"/>
      <protection locked="0"/>
    </xf>
    <xf numFmtId="203" fontId="35" fillId="36" borderId="29" xfId="56" applyNumberFormat="1" applyFont="1" applyFill="1" applyBorder="1" applyAlignment="1" applyProtection="1">
      <alignment horizontal="left" vertical="center" wrapText="1"/>
      <protection locked="0"/>
    </xf>
    <xf numFmtId="203" fontId="35" fillId="36" borderId="30" xfId="56" applyNumberFormat="1" applyFont="1" applyFill="1" applyBorder="1" applyAlignment="1" applyProtection="1">
      <alignment horizontal="left" vertical="center" wrapText="1"/>
      <protection locked="0"/>
    </xf>
    <xf numFmtId="0" fontId="3" fillId="35" borderId="19" xfId="0" applyFont="1" applyFill="1" applyBorder="1" applyAlignment="1" applyProtection="1">
      <alignment horizontal="left" vertical="top" wrapText="1"/>
      <protection/>
    </xf>
    <xf numFmtId="0" fontId="3" fillId="35" borderId="92" xfId="0" applyFont="1" applyFill="1" applyBorder="1" applyAlignment="1" applyProtection="1">
      <alignment horizontal="left" vertical="top" wrapText="1"/>
      <protection/>
    </xf>
    <xf numFmtId="0" fontId="3" fillId="35" borderId="32" xfId="0" applyFont="1" applyFill="1" applyBorder="1" applyAlignment="1" applyProtection="1">
      <alignment horizontal="left" vertical="top" wrapText="1"/>
      <protection/>
    </xf>
    <xf numFmtId="10" fontId="35" fillId="35" borderId="12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8" fillId="35" borderId="50" xfId="0" applyFont="1" applyFill="1" applyBorder="1" applyAlignment="1" applyProtection="1">
      <alignment horizontal="center" vertical="center"/>
      <protection/>
    </xf>
    <xf numFmtId="10" fontId="38" fillId="35" borderId="0" xfId="54" applyNumberFormat="1" applyFont="1" applyFill="1" applyBorder="1" applyAlignment="1" applyProtection="1">
      <alignment horizontal="center"/>
      <protection/>
    </xf>
    <xf numFmtId="0" fontId="39" fillId="35" borderId="114" xfId="0" applyFont="1" applyFill="1" applyBorder="1" applyAlignment="1" applyProtection="1">
      <alignment horizontal="center"/>
      <protection/>
    </xf>
    <xf numFmtId="0" fontId="39" fillId="35" borderId="113" xfId="0" applyFont="1" applyFill="1" applyBorder="1" applyAlignment="1" applyProtection="1">
      <alignment horizontal="center"/>
      <protection/>
    </xf>
    <xf numFmtId="0" fontId="39" fillId="35" borderId="115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vertical="center" wrapText="1"/>
      <protection/>
    </xf>
    <xf numFmtId="10" fontId="14" fillId="35" borderId="116" xfId="54" applyNumberFormat="1" applyFont="1" applyFill="1" applyBorder="1" applyAlignment="1" applyProtection="1">
      <alignment horizontal="center" vertical="center"/>
      <protection/>
    </xf>
    <xf numFmtId="10" fontId="14" fillId="35" borderId="117" xfId="54" applyNumberFormat="1" applyFont="1" applyFill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center"/>
      <protection/>
    </xf>
    <xf numFmtId="0" fontId="8" fillId="0" borderId="54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left" wrapText="1"/>
      <protection/>
    </xf>
    <xf numFmtId="177" fontId="16" fillId="35" borderId="28" xfId="56" applyNumberFormat="1" applyFont="1" applyFill="1" applyBorder="1" applyAlignment="1" applyProtection="1">
      <alignment horizontal="center" vertical="center" wrapText="1"/>
      <protection/>
    </xf>
    <xf numFmtId="177" fontId="16" fillId="35" borderId="30" xfId="56" applyNumberFormat="1" applyFont="1" applyFill="1" applyBorder="1" applyAlignment="1" applyProtection="1">
      <alignment horizontal="center" vertical="center" wrapText="1"/>
      <protection/>
    </xf>
    <xf numFmtId="177" fontId="6" fillId="35" borderId="12" xfId="0" applyNumberFormat="1" applyFont="1" applyFill="1" applyBorder="1" applyAlignment="1">
      <alignment horizontal="center" vertical="center"/>
    </xf>
    <xf numFmtId="177" fontId="16" fillId="0" borderId="12" xfId="56" applyNumberFormat="1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77" fontId="20" fillId="0" borderId="12" xfId="0" applyNumberFormat="1" applyFont="1" applyFill="1" applyBorder="1" applyAlignment="1" applyProtection="1">
      <alignment horizontal="center" vertical="center"/>
      <protection/>
    </xf>
    <xf numFmtId="177" fontId="6" fillId="35" borderId="12" xfId="0" applyNumberFormat="1" applyFont="1" applyFill="1" applyBorder="1" applyAlignment="1" applyProtection="1">
      <alignment horizontal="center" vertical="center"/>
      <protection/>
    </xf>
    <xf numFmtId="177" fontId="16" fillId="0" borderId="28" xfId="0" applyNumberFormat="1" applyFont="1" applyBorder="1" applyAlignment="1" applyProtection="1">
      <alignment horizontal="center"/>
      <protection/>
    </xf>
    <xf numFmtId="177" fontId="16" fillId="0" borderId="30" xfId="0" applyNumberFormat="1" applyFont="1" applyBorder="1" applyAlignment="1" applyProtection="1">
      <alignment horizontal="center"/>
      <protection/>
    </xf>
    <xf numFmtId="0" fontId="16" fillId="34" borderId="12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34" borderId="12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horizontal="center" vertical="center"/>
      <protection/>
    </xf>
    <xf numFmtId="10" fontId="16" fillId="34" borderId="12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esquisa no referencial 10 de maio de 2013" xfId="51"/>
    <cellStyle name="Normal_Pesquisa no referencial 10 de maio de 2013 2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19050</xdr:rowOff>
    </xdr:from>
    <xdr:to>
      <xdr:col>3</xdr:col>
      <xdr:colOff>9525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0</xdr:row>
      <xdr:rowOff>9525</xdr:rowOff>
    </xdr:from>
    <xdr:to>
      <xdr:col>10</xdr:col>
      <xdr:colOff>390525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952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42</xdr:row>
      <xdr:rowOff>0</xdr:rowOff>
    </xdr:from>
    <xdr:ext cx="104775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1276350" y="7019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0" cy="0"/>
        </a:xfrm>
        <a:prstGeom prst="rightArrow">
          <a:avLst>
            <a:gd name="adj" fmla="val -2147483648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304800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04800" y="0"/>
          <a:ext cx="0" cy="0"/>
        </a:xfrm>
        <a:prstGeom prst="rightArrow">
          <a:avLst>
            <a:gd name="adj" fmla="val -2147483648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304800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0</xdr:rowOff>
    </xdr:from>
    <xdr:to>
      <xdr:col>6</xdr:col>
      <xdr:colOff>19050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10800000" flipH="1">
          <a:off x="5114925" y="0"/>
          <a:ext cx="600075" cy="0"/>
        </a:xfrm>
        <a:prstGeom prst="rightArrow">
          <a:avLst>
            <a:gd name="adj" fmla="val 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42</xdr:row>
      <xdr:rowOff>0</xdr:rowOff>
    </xdr:from>
    <xdr:to>
      <xdr:col>6</xdr:col>
      <xdr:colOff>19050</xdr:colOff>
      <xdr:row>42</xdr:row>
      <xdr:rowOff>0</xdr:rowOff>
    </xdr:to>
    <xdr:sp>
      <xdr:nvSpPr>
        <xdr:cNvPr id="2" name="AutoShape 2"/>
        <xdr:cNvSpPr>
          <a:spLocks/>
        </xdr:cNvSpPr>
      </xdr:nvSpPr>
      <xdr:spPr>
        <a:xfrm rot="10800000" flipH="1">
          <a:off x="5114925" y="11049000"/>
          <a:ext cx="600075" cy="0"/>
        </a:xfrm>
        <a:prstGeom prst="rightArrow">
          <a:avLst>
            <a:gd name="adj" fmla="val 50000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193;SICO%20%20-%20MANUT%20PVA%202019\NOVA%20PLANILHA%202013%202014%20ILUM.%20P&#218;BL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T IP"/>
      <sheetName val="CRON 2"/>
      <sheetName val="CRON 1"/>
      <sheetName val="PLANILHA"/>
    </sheetNames>
    <sheetDataSet>
      <sheetData sheetId="3">
        <row r="48">
          <cell r="B48" t="str">
            <v>MOBILIZAÇAÕ DE MÃO DE OBRA PARA IMPLATAÇÃO E MANUTENÇÃO DE APARELHOS DE ILUMINAÇÃO PÚBLICA POR PROFISSIONAIS ESPECIALIZADOS EM POSTES TELECÔNCIOS E CONCRETO.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showZeros="0" zoomScale="130" zoomScaleNormal="130" zoomScaleSheetLayoutView="50" zoomScalePageLayoutView="0" workbookViewId="0" topLeftCell="A46">
      <selection activeCell="A13" sqref="A13:L13"/>
    </sheetView>
  </sheetViews>
  <sheetFormatPr defaultColWidth="8.8515625" defaultRowHeight="12.75"/>
  <cols>
    <col min="1" max="1" width="0.85546875" style="1" customWidth="1"/>
    <col min="2" max="2" width="4.57421875" style="11" customWidth="1"/>
    <col min="3" max="3" width="11.140625" style="1" customWidth="1"/>
    <col min="4" max="4" width="15.57421875" style="1" customWidth="1"/>
    <col min="5" max="5" width="13.140625" style="1" customWidth="1"/>
    <col min="6" max="6" width="10.28125" style="1" customWidth="1"/>
    <col min="7" max="7" width="12.28125" style="1" customWidth="1"/>
    <col min="8" max="8" width="9.00390625" style="1" customWidth="1"/>
    <col min="9" max="9" width="0.5625" style="1" customWidth="1"/>
    <col min="10" max="10" width="8.8515625" style="1" customWidth="1"/>
    <col min="11" max="11" width="12.421875" style="6" customWidth="1"/>
    <col min="12" max="12" width="0.9921875" style="1" customWidth="1"/>
    <col min="13" max="13" width="1.421875" style="1" customWidth="1"/>
    <col min="14" max="14" width="15.421875" style="1" customWidth="1"/>
    <col min="15" max="16384" width="8.8515625" style="1" customWidth="1"/>
  </cols>
  <sheetData>
    <row r="1" spans="2:11" ht="12.75">
      <c r="B1" s="793" t="s">
        <v>42</v>
      </c>
      <c r="C1" s="794"/>
      <c r="D1" s="794"/>
      <c r="E1" s="794"/>
      <c r="F1" s="794"/>
      <c r="G1" s="794"/>
      <c r="H1" s="794"/>
      <c r="I1" s="794"/>
      <c r="J1" s="794"/>
      <c r="K1" s="794"/>
    </row>
    <row r="2" spans="2:11" ht="12.75">
      <c r="B2" s="793" t="s">
        <v>43</v>
      </c>
      <c r="C2" s="794"/>
      <c r="D2" s="794"/>
      <c r="E2" s="794"/>
      <c r="F2" s="794"/>
      <c r="G2" s="794"/>
      <c r="H2" s="794"/>
      <c r="I2" s="794"/>
      <c r="J2" s="794"/>
      <c r="K2" s="794"/>
    </row>
    <row r="3" spans="2:11" ht="12.75">
      <c r="B3" s="793" t="s">
        <v>44</v>
      </c>
      <c r="C3" s="794"/>
      <c r="D3" s="794"/>
      <c r="E3" s="794"/>
      <c r="F3" s="794"/>
      <c r="G3" s="794"/>
      <c r="H3" s="794"/>
      <c r="I3" s="794"/>
      <c r="J3" s="794"/>
      <c r="K3" s="794"/>
    </row>
    <row r="4" spans="2:11" ht="23.25" customHeight="1">
      <c r="B4" s="791" t="s">
        <v>80</v>
      </c>
      <c r="C4" s="792"/>
      <c r="D4" s="792"/>
      <c r="E4" s="792"/>
      <c r="F4" s="792"/>
      <c r="G4" s="792"/>
      <c r="H4" s="792"/>
      <c r="I4" s="792"/>
      <c r="J4" s="792"/>
      <c r="K4" s="792"/>
    </row>
    <row r="5" spans="1:12" ht="5.25" customHeight="1">
      <c r="A5" s="795"/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7"/>
    </row>
    <row r="6" spans="1:12" ht="12.75">
      <c r="A6" s="779" t="s">
        <v>48</v>
      </c>
      <c r="B6" s="780"/>
      <c r="C6" s="781"/>
      <c r="D6" s="775" t="s">
        <v>73</v>
      </c>
      <c r="E6" s="776"/>
      <c r="F6" s="2"/>
      <c r="G6" s="3" t="s">
        <v>32</v>
      </c>
      <c r="H6" s="786" t="s">
        <v>77</v>
      </c>
      <c r="I6" s="787"/>
      <c r="J6" s="787"/>
      <c r="K6" s="778"/>
      <c r="L6" s="4"/>
    </row>
    <row r="7" spans="1:12" ht="4.5" customHeight="1">
      <c r="A7" s="735"/>
      <c r="B7" s="782"/>
      <c r="C7" s="782"/>
      <c r="D7" s="782"/>
      <c r="E7" s="782"/>
      <c r="F7" s="782"/>
      <c r="G7" s="782"/>
      <c r="H7" s="782"/>
      <c r="I7" s="782"/>
      <c r="J7" s="782"/>
      <c r="K7" s="782"/>
      <c r="L7" s="757"/>
    </row>
    <row r="8" spans="1:12" ht="12.75">
      <c r="A8" s="779" t="s">
        <v>74</v>
      </c>
      <c r="B8" s="780"/>
      <c r="C8" s="781"/>
      <c r="D8" s="777" t="s">
        <v>75</v>
      </c>
      <c r="E8" s="778"/>
      <c r="F8" s="6"/>
      <c r="G8" s="3" t="s">
        <v>76</v>
      </c>
      <c r="H8" s="788" t="s">
        <v>77</v>
      </c>
      <c r="I8" s="789"/>
      <c r="J8" s="789"/>
      <c r="K8" s="790"/>
      <c r="L8" s="4"/>
    </row>
    <row r="9" spans="1:12" ht="6" customHeight="1">
      <c r="A9" s="735"/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57"/>
    </row>
    <row r="10" spans="1:12" ht="9.75" customHeight="1">
      <c r="A10" s="779" t="s">
        <v>1</v>
      </c>
      <c r="B10" s="780"/>
      <c r="C10" s="781"/>
      <c r="D10" s="7" t="s">
        <v>49</v>
      </c>
      <c r="E10" s="3" t="s">
        <v>2</v>
      </c>
      <c r="F10" s="7" t="s">
        <v>50</v>
      </c>
      <c r="G10" s="3" t="s">
        <v>4</v>
      </c>
      <c r="H10" s="777" t="s">
        <v>51</v>
      </c>
      <c r="I10" s="787"/>
      <c r="J10" s="787"/>
      <c r="K10" s="778"/>
      <c r="L10" s="4"/>
    </row>
    <row r="11" spans="1:12" ht="4.5" customHeight="1">
      <c r="A11" s="735"/>
      <c r="B11" s="782"/>
      <c r="C11" s="782"/>
      <c r="D11" s="782"/>
      <c r="E11" s="782"/>
      <c r="F11" s="782"/>
      <c r="G11" s="782"/>
      <c r="H11" s="782"/>
      <c r="I11" s="782"/>
      <c r="J11" s="782"/>
      <c r="K11" s="782"/>
      <c r="L11" s="757"/>
    </row>
    <row r="12" spans="1:12" ht="21" customHeight="1">
      <c r="A12" s="798" t="s">
        <v>0</v>
      </c>
      <c r="B12" s="799"/>
      <c r="C12" s="800"/>
      <c r="D12" s="801" t="s">
        <v>81</v>
      </c>
      <c r="E12" s="802"/>
      <c r="F12" s="802"/>
      <c r="G12" s="802"/>
      <c r="H12" s="802"/>
      <c r="I12" s="802"/>
      <c r="J12" s="802"/>
      <c r="K12" s="803"/>
      <c r="L12" s="4"/>
    </row>
    <row r="13" spans="1:12" ht="3.75" customHeight="1">
      <c r="A13" s="735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57"/>
    </row>
    <row r="14" spans="1:12" ht="10.5" customHeight="1">
      <c r="A14" s="5"/>
      <c r="B14" s="740" t="s">
        <v>33</v>
      </c>
      <c r="C14" s="783"/>
      <c r="D14" s="783"/>
      <c r="E14" s="783"/>
      <c r="F14" s="783"/>
      <c r="G14" s="783"/>
      <c r="H14" s="783"/>
      <c r="I14" s="783"/>
      <c r="J14" s="783"/>
      <c r="K14" s="784"/>
      <c r="L14" s="33"/>
    </row>
    <row r="15" spans="1:12" ht="4.5" customHeight="1">
      <c r="A15" s="735"/>
      <c r="B15" s="782"/>
      <c r="C15" s="782"/>
      <c r="D15" s="782"/>
      <c r="E15" s="782"/>
      <c r="F15" s="782"/>
      <c r="G15" s="782"/>
      <c r="H15" s="782"/>
      <c r="I15" s="782"/>
      <c r="J15" s="782"/>
      <c r="K15" s="782"/>
      <c r="L15" s="757"/>
    </row>
    <row r="16" spans="1:12" ht="21">
      <c r="A16" s="5"/>
      <c r="B16" s="8" t="s">
        <v>56</v>
      </c>
      <c r="C16" s="751" t="s">
        <v>3</v>
      </c>
      <c r="D16" s="751"/>
      <c r="E16" s="8" t="s">
        <v>11</v>
      </c>
      <c r="F16" s="8" t="s">
        <v>17</v>
      </c>
      <c r="G16" s="8" t="s">
        <v>13</v>
      </c>
      <c r="H16" s="8" t="s">
        <v>14</v>
      </c>
      <c r="I16" s="751" t="s">
        <v>12</v>
      </c>
      <c r="J16" s="751"/>
      <c r="K16" s="8" t="s">
        <v>67</v>
      </c>
      <c r="L16" s="4"/>
    </row>
    <row r="17" spans="1:12" ht="11.25">
      <c r="A17" s="5"/>
      <c r="B17" s="9">
        <v>1</v>
      </c>
      <c r="C17" s="785" t="s">
        <v>45</v>
      </c>
      <c r="D17" s="785"/>
      <c r="E17" s="55">
        <f>10*380</f>
        <v>3800</v>
      </c>
      <c r="F17" s="56"/>
      <c r="G17" s="57">
        <v>0</v>
      </c>
      <c r="H17" s="57">
        <v>0</v>
      </c>
      <c r="I17" s="752">
        <v>0</v>
      </c>
      <c r="J17" s="752"/>
      <c r="K17" s="34">
        <f>IF(E17=0,0,(B17*E17)+E17*F17+G17+E17/220*H17+I17)</f>
        <v>3800</v>
      </c>
      <c r="L17" s="4"/>
    </row>
    <row r="18" spans="1:12" ht="11.25" customHeight="1">
      <c r="A18" s="5"/>
      <c r="B18" s="10">
        <v>2</v>
      </c>
      <c r="C18" s="804" t="s">
        <v>46</v>
      </c>
      <c r="D18" s="804"/>
      <c r="E18" s="58">
        <v>600</v>
      </c>
      <c r="F18" s="59">
        <v>0.3</v>
      </c>
      <c r="G18" s="60">
        <v>0</v>
      </c>
      <c r="H18" s="60">
        <v>0</v>
      </c>
      <c r="I18" s="753">
        <v>0</v>
      </c>
      <c r="J18" s="753"/>
      <c r="K18" s="35">
        <f>IF(E18=0,0,(B18*E18)+E18*F18+G18+E18/220*H18+I18)</f>
        <v>1380</v>
      </c>
      <c r="L18" s="4"/>
    </row>
    <row r="19" spans="1:12" ht="11.25" customHeight="1">
      <c r="A19" s="5"/>
      <c r="B19" s="10">
        <v>2</v>
      </c>
      <c r="C19" s="804" t="s">
        <v>47</v>
      </c>
      <c r="D19" s="804"/>
      <c r="E19" s="58">
        <v>520</v>
      </c>
      <c r="F19" s="59">
        <v>0.3</v>
      </c>
      <c r="G19" s="60">
        <v>0</v>
      </c>
      <c r="H19" s="60">
        <v>0</v>
      </c>
      <c r="I19" s="753">
        <v>0</v>
      </c>
      <c r="J19" s="753"/>
      <c r="K19" s="35">
        <f>IF(E19=0,0,(B19*E19)+E19*F19+G19+E19/220*H19+I19)</f>
        <v>1196</v>
      </c>
      <c r="L19" s="4"/>
    </row>
    <row r="20" spans="1:12" ht="11.25" customHeight="1">
      <c r="A20" s="5"/>
      <c r="B20" s="52"/>
      <c r="C20" s="774"/>
      <c r="D20" s="774"/>
      <c r="E20" s="58"/>
      <c r="F20" s="59"/>
      <c r="G20" s="60"/>
      <c r="H20" s="60"/>
      <c r="I20" s="753"/>
      <c r="J20" s="753"/>
      <c r="K20" s="35"/>
      <c r="L20" s="4"/>
    </row>
    <row r="21" spans="1:12" ht="11.25">
      <c r="A21" s="5"/>
      <c r="B21" s="53">
        <f>SUM(B17:B20)</f>
        <v>5</v>
      </c>
      <c r="C21" s="750" t="s">
        <v>31</v>
      </c>
      <c r="D21" s="750"/>
      <c r="E21" s="54"/>
      <c r="F21" s="36"/>
      <c r="G21" s="36"/>
      <c r="H21" s="36"/>
      <c r="I21" s="805"/>
      <c r="J21" s="805"/>
      <c r="K21" s="37"/>
      <c r="L21" s="4"/>
    </row>
    <row r="22" spans="1:12" ht="10.5" customHeight="1">
      <c r="A22" s="5"/>
      <c r="B22" s="754" t="s">
        <v>26</v>
      </c>
      <c r="C22" s="754"/>
      <c r="D22" s="754"/>
      <c r="E22" s="754"/>
      <c r="F22" s="754"/>
      <c r="G22" s="754"/>
      <c r="H22" s="754"/>
      <c r="I22" s="754"/>
      <c r="J22" s="754"/>
      <c r="K22" s="71">
        <f>SUM(K17:K20)</f>
        <v>6376</v>
      </c>
      <c r="L22" s="4"/>
    </row>
    <row r="23" spans="1:12" ht="3" customHeight="1">
      <c r="A23" s="5"/>
      <c r="C23" s="6"/>
      <c r="D23" s="6"/>
      <c r="E23" s="6"/>
      <c r="F23" s="6"/>
      <c r="G23" s="6"/>
      <c r="H23" s="6"/>
      <c r="I23" s="6"/>
      <c r="J23" s="6"/>
      <c r="L23" s="4"/>
    </row>
    <row r="24" spans="1:12" ht="10.5" customHeight="1">
      <c r="A24" s="5"/>
      <c r="B24" s="740" t="s">
        <v>34</v>
      </c>
      <c r="C24" s="741"/>
      <c r="D24" s="741"/>
      <c r="E24" s="741"/>
      <c r="F24" s="741"/>
      <c r="G24" s="741"/>
      <c r="H24" s="741"/>
      <c r="I24" s="741"/>
      <c r="J24" s="741"/>
      <c r="K24" s="742"/>
      <c r="L24" s="4"/>
    </row>
    <row r="25" spans="1:12" ht="3" customHeight="1">
      <c r="A25" s="5"/>
      <c r="B25" s="12"/>
      <c r="C25" s="13"/>
      <c r="D25" s="13"/>
      <c r="E25" s="13"/>
      <c r="F25" s="13"/>
      <c r="G25" s="13"/>
      <c r="H25" s="13"/>
      <c r="I25" s="13"/>
      <c r="J25" s="13"/>
      <c r="L25" s="4"/>
    </row>
    <row r="26" spans="1:12" ht="11.25" customHeight="1">
      <c r="A26" s="5"/>
      <c r="B26" s="738" t="s">
        <v>5</v>
      </c>
      <c r="C26" s="738"/>
      <c r="D26" s="738"/>
      <c r="E26" s="738"/>
      <c r="F26" s="14" t="s">
        <v>18</v>
      </c>
      <c r="G26" s="739"/>
      <c r="H26" s="739"/>
      <c r="I26" s="739"/>
      <c r="J26" s="739"/>
      <c r="K26" s="739"/>
      <c r="L26" s="4"/>
    </row>
    <row r="27" spans="1:12" ht="12" customHeight="1">
      <c r="A27" s="5"/>
      <c r="B27" s="749" t="s">
        <v>52</v>
      </c>
      <c r="C27" s="749"/>
      <c r="D27" s="749"/>
      <c r="E27" s="749"/>
      <c r="F27" s="72"/>
      <c r="G27" s="743" t="s">
        <v>15</v>
      </c>
      <c r="H27" s="743"/>
      <c r="I27" s="743"/>
      <c r="J27" s="743"/>
      <c r="K27" s="18">
        <f>F27*$K$22</f>
        <v>0</v>
      </c>
      <c r="L27" s="4"/>
    </row>
    <row r="28" spans="1:12" ht="9.75" customHeight="1">
      <c r="A28" s="5"/>
      <c r="B28" s="738" t="s">
        <v>6</v>
      </c>
      <c r="C28" s="738"/>
      <c r="D28" s="738"/>
      <c r="E28" s="738"/>
      <c r="F28" s="14"/>
      <c r="G28" s="739"/>
      <c r="H28" s="739"/>
      <c r="I28" s="739"/>
      <c r="J28" s="739"/>
      <c r="K28" s="739"/>
      <c r="L28" s="4"/>
    </row>
    <row r="29" spans="1:12" ht="12" customHeight="1">
      <c r="A29" s="5"/>
      <c r="B29" s="749" t="s">
        <v>53</v>
      </c>
      <c r="C29" s="749"/>
      <c r="D29" s="749"/>
      <c r="E29" s="749"/>
      <c r="F29" s="72"/>
      <c r="G29" s="743" t="s">
        <v>15</v>
      </c>
      <c r="H29" s="743"/>
      <c r="I29" s="743"/>
      <c r="J29" s="743"/>
      <c r="K29" s="18">
        <f>F29*$K$22</f>
        <v>0</v>
      </c>
      <c r="L29" s="4"/>
    </row>
    <row r="30" spans="1:12" ht="9.75" customHeight="1">
      <c r="A30" s="5"/>
      <c r="B30" s="738" t="s">
        <v>7</v>
      </c>
      <c r="C30" s="738"/>
      <c r="D30" s="738"/>
      <c r="E30" s="738"/>
      <c r="F30" s="14"/>
      <c r="G30" s="739"/>
      <c r="H30" s="739"/>
      <c r="I30" s="739"/>
      <c r="J30" s="739"/>
      <c r="K30" s="739"/>
      <c r="L30" s="4"/>
    </row>
    <row r="31" spans="1:12" ht="12" customHeight="1">
      <c r="A31" s="5"/>
      <c r="B31" s="749" t="s">
        <v>54</v>
      </c>
      <c r="C31" s="749"/>
      <c r="D31" s="749"/>
      <c r="E31" s="749"/>
      <c r="F31" s="72"/>
      <c r="G31" s="743" t="s">
        <v>15</v>
      </c>
      <c r="H31" s="743"/>
      <c r="I31" s="743"/>
      <c r="J31" s="743"/>
      <c r="K31" s="18">
        <f>F31*$K$22</f>
        <v>0</v>
      </c>
      <c r="L31" s="4"/>
    </row>
    <row r="32" spans="1:12" ht="9.75" customHeight="1">
      <c r="A32" s="5"/>
      <c r="B32" s="738" t="s">
        <v>8</v>
      </c>
      <c r="C32" s="738"/>
      <c r="D32" s="738"/>
      <c r="E32" s="738"/>
      <c r="F32" s="14"/>
      <c r="G32" s="739"/>
      <c r="H32" s="739"/>
      <c r="I32" s="739"/>
      <c r="J32" s="739"/>
      <c r="K32" s="739"/>
      <c r="L32" s="4"/>
    </row>
    <row r="33" spans="1:12" ht="11.25">
      <c r="A33" s="5"/>
      <c r="B33" s="758" t="s">
        <v>65</v>
      </c>
      <c r="C33" s="758"/>
      <c r="D33" s="758"/>
      <c r="E33" s="758"/>
      <c r="F33" s="38"/>
      <c r="G33" s="743"/>
      <c r="H33" s="743"/>
      <c r="I33" s="743"/>
      <c r="J33" s="743"/>
      <c r="K33" s="39"/>
      <c r="L33" s="4"/>
    </row>
    <row r="34" spans="1:12" ht="12" customHeight="1">
      <c r="A34" s="5"/>
      <c r="B34" s="749" t="s">
        <v>55</v>
      </c>
      <c r="C34" s="749"/>
      <c r="D34" s="749"/>
      <c r="E34" s="749"/>
      <c r="F34" s="72">
        <v>1.34</v>
      </c>
      <c r="G34" s="743" t="s">
        <v>15</v>
      </c>
      <c r="H34" s="743"/>
      <c r="I34" s="743"/>
      <c r="J34" s="743"/>
      <c r="K34" s="18">
        <f>F34*$K$22</f>
        <v>8543.84</v>
      </c>
      <c r="L34" s="4"/>
    </row>
    <row r="35" spans="1:12" s="19" customFormat="1" ht="3.75" customHeight="1">
      <c r="A35" s="755"/>
      <c r="B35" s="756"/>
      <c r="C35" s="756"/>
      <c r="D35" s="756"/>
      <c r="E35" s="756"/>
      <c r="F35" s="756"/>
      <c r="G35" s="756"/>
      <c r="H35" s="756"/>
      <c r="I35" s="756"/>
      <c r="J35" s="756"/>
      <c r="K35" s="756"/>
      <c r="L35" s="757"/>
    </row>
    <row r="36" spans="1:12" ht="10.5" customHeight="1">
      <c r="A36" s="5"/>
      <c r="B36" s="754" t="s">
        <v>27</v>
      </c>
      <c r="C36" s="754"/>
      <c r="D36" s="754"/>
      <c r="E36" s="754"/>
      <c r="F36" s="754"/>
      <c r="G36" s="754"/>
      <c r="H36" s="754"/>
      <c r="I36" s="754"/>
      <c r="J36" s="754"/>
      <c r="K36" s="18">
        <f>K27+K29+K31+K34</f>
        <v>8543.84</v>
      </c>
      <c r="L36" s="4"/>
    </row>
    <row r="37" spans="1:12" ht="3.75" customHeight="1">
      <c r="A37" s="5"/>
      <c r="C37" s="6"/>
      <c r="D37" s="6"/>
      <c r="E37" s="6"/>
      <c r="F37" s="6"/>
      <c r="G37" s="6"/>
      <c r="H37" s="6"/>
      <c r="I37" s="6"/>
      <c r="J37" s="6"/>
      <c r="L37" s="4"/>
    </row>
    <row r="38" spans="1:12" ht="10.5" customHeight="1">
      <c r="A38" s="5"/>
      <c r="B38" s="740" t="s">
        <v>38</v>
      </c>
      <c r="C38" s="741"/>
      <c r="D38" s="741"/>
      <c r="E38" s="741"/>
      <c r="F38" s="741"/>
      <c r="G38" s="741"/>
      <c r="H38" s="741"/>
      <c r="I38" s="741"/>
      <c r="J38" s="741"/>
      <c r="K38" s="742"/>
      <c r="L38" s="4"/>
    </row>
    <row r="39" spans="1:12" ht="3" customHeight="1">
      <c r="A39" s="5"/>
      <c r="C39" s="6"/>
      <c r="D39" s="6"/>
      <c r="E39" s="6"/>
      <c r="F39" s="6"/>
      <c r="G39" s="6"/>
      <c r="H39" s="6"/>
      <c r="I39" s="6"/>
      <c r="J39" s="6"/>
      <c r="L39" s="4"/>
    </row>
    <row r="40" spans="1:12" ht="12.75">
      <c r="A40" s="5"/>
      <c r="B40" s="15" t="s">
        <v>57</v>
      </c>
      <c r="C40" s="773" t="s">
        <v>16</v>
      </c>
      <c r="D40" s="773"/>
      <c r="E40" s="773"/>
      <c r="F40" s="8" t="s">
        <v>35</v>
      </c>
      <c r="G40" s="8" t="s">
        <v>30</v>
      </c>
      <c r="H40" s="771" t="s">
        <v>37</v>
      </c>
      <c r="I40" s="772"/>
      <c r="J40" s="772"/>
      <c r="K40" s="21" t="s">
        <v>36</v>
      </c>
      <c r="L40" s="4"/>
    </row>
    <row r="41" spans="1:12" ht="12.75">
      <c r="A41" s="5"/>
      <c r="B41" s="22">
        <v>1</v>
      </c>
      <c r="C41" s="806" t="s">
        <v>58</v>
      </c>
      <c r="D41" s="806"/>
      <c r="E41" s="806"/>
      <c r="F41" s="61">
        <f>4*4*22</f>
        <v>352</v>
      </c>
      <c r="G41" s="63">
        <v>1.7</v>
      </c>
      <c r="H41" s="745" t="s">
        <v>37</v>
      </c>
      <c r="I41" s="746"/>
      <c r="J41" s="746"/>
      <c r="K41" s="40">
        <f aca="true" t="shared" si="0" ref="K41:K46">F41*G41</f>
        <v>598.4</v>
      </c>
      <c r="L41" s="4"/>
    </row>
    <row r="42" spans="1:12" ht="12.75">
      <c r="A42" s="5"/>
      <c r="B42" s="23">
        <v>2</v>
      </c>
      <c r="C42" s="760" t="s">
        <v>60</v>
      </c>
      <c r="D42" s="760"/>
      <c r="E42" s="760"/>
      <c r="F42" s="62">
        <v>4</v>
      </c>
      <c r="G42" s="63">
        <v>45</v>
      </c>
      <c r="H42" s="745" t="s">
        <v>37</v>
      </c>
      <c r="I42" s="746"/>
      <c r="J42" s="746"/>
      <c r="K42" s="41">
        <f t="shared" si="0"/>
        <v>180</v>
      </c>
      <c r="L42" s="4"/>
    </row>
    <row r="43" spans="1:12" ht="12.75">
      <c r="A43" s="5"/>
      <c r="B43" s="23">
        <v>3</v>
      </c>
      <c r="C43" s="760" t="s">
        <v>61</v>
      </c>
      <c r="D43" s="760"/>
      <c r="E43" s="760"/>
      <c r="F43" s="62">
        <f>4*2</f>
        <v>8</v>
      </c>
      <c r="G43" s="63">
        <v>135</v>
      </c>
      <c r="H43" s="745" t="s">
        <v>37</v>
      </c>
      <c r="I43" s="746"/>
      <c r="J43" s="746"/>
      <c r="K43" s="41">
        <f t="shared" si="0"/>
        <v>1080</v>
      </c>
      <c r="L43" s="4"/>
    </row>
    <row r="44" spans="1:12" ht="12.75">
      <c r="A44" s="5"/>
      <c r="B44" s="23">
        <v>4</v>
      </c>
      <c r="C44" s="760" t="s">
        <v>62</v>
      </c>
      <c r="D44" s="760"/>
      <c r="E44" s="760"/>
      <c r="F44" s="62">
        <v>1</v>
      </c>
      <c r="G44" s="63">
        <v>2500</v>
      </c>
      <c r="H44" s="745" t="s">
        <v>37</v>
      </c>
      <c r="I44" s="746"/>
      <c r="J44" s="746"/>
      <c r="K44" s="41">
        <f t="shared" si="0"/>
        <v>2500</v>
      </c>
      <c r="L44" s="4"/>
    </row>
    <row r="45" spans="1:12" ht="12.75">
      <c r="A45" s="5"/>
      <c r="B45" s="23">
        <v>5</v>
      </c>
      <c r="C45" s="760" t="s">
        <v>63</v>
      </c>
      <c r="D45" s="760"/>
      <c r="E45" s="760"/>
      <c r="F45" s="64">
        <f>B21</f>
        <v>5</v>
      </c>
      <c r="G45" s="63">
        <v>95</v>
      </c>
      <c r="H45" s="745" t="s">
        <v>37</v>
      </c>
      <c r="I45" s="746"/>
      <c r="J45" s="746"/>
      <c r="K45" s="41">
        <f t="shared" si="0"/>
        <v>475</v>
      </c>
      <c r="L45" s="4"/>
    </row>
    <row r="46" spans="1:12" ht="12.75">
      <c r="A46" s="5"/>
      <c r="B46" s="24">
        <v>6</v>
      </c>
      <c r="C46" s="807" t="s">
        <v>64</v>
      </c>
      <c r="D46" s="807"/>
      <c r="E46" s="808"/>
      <c r="F46" s="63"/>
      <c r="G46" s="63"/>
      <c r="H46" s="745" t="s">
        <v>37</v>
      </c>
      <c r="I46" s="746"/>
      <c r="J46" s="746"/>
      <c r="K46" s="42">
        <f t="shared" si="0"/>
        <v>0</v>
      </c>
      <c r="L46" s="4"/>
    </row>
    <row r="47" spans="1:12" ht="12.75" customHeight="1">
      <c r="A47" s="5"/>
      <c r="B47" s="759" t="s">
        <v>28</v>
      </c>
      <c r="C47" s="759"/>
      <c r="D47" s="759"/>
      <c r="E47" s="759"/>
      <c r="F47" s="759"/>
      <c r="G47" s="759"/>
      <c r="H47" s="759"/>
      <c r="I47" s="759"/>
      <c r="J47" s="759"/>
      <c r="K47" s="20">
        <f>SUM(K41:K46)</f>
        <v>4833.4</v>
      </c>
      <c r="L47" s="4"/>
    </row>
    <row r="48" spans="1:12" ht="12.75" customHeight="1">
      <c r="A48" s="5"/>
      <c r="B48" s="759" t="s">
        <v>29</v>
      </c>
      <c r="C48" s="759"/>
      <c r="D48" s="759"/>
      <c r="E48" s="759"/>
      <c r="F48" s="759"/>
      <c r="G48" s="759"/>
      <c r="H48" s="759"/>
      <c r="I48" s="759"/>
      <c r="J48" s="759"/>
      <c r="K48" s="20">
        <f>K22+K36+K47</f>
        <v>19753.239999999998</v>
      </c>
      <c r="L48" s="4"/>
    </row>
    <row r="49" spans="1:12" ht="3" customHeight="1">
      <c r="A49" s="5"/>
      <c r="C49" s="25"/>
      <c r="D49" s="25"/>
      <c r="E49" s="25"/>
      <c r="F49" s="25"/>
      <c r="G49" s="25"/>
      <c r="H49" s="25"/>
      <c r="I49" s="25"/>
      <c r="J49" s="25"/>
      <c r="K49" s="26"/>
      <c r="L49" s="4"/>
    </row>
    <row r="50" spans="1:12" ht="10.5" customHeight="1">
      <c r="A50" s="5"/>
      <c r="B50" s="740" t="s">
        <v>59</v>
      </c>
      <c r="C50" s="741"/>
      <c r="D50" s="741"/>
      <c r="E50" s="741"/>
      <c r="F50" s="741"/>
      <c r="G50" s="741"/>
      <c r="H50" s="741"/>
      <c r="I50" s="741"/>
      <c r="J50" s="741"/>
      <c r="K50" s="742"/>
      <c r="L50" s="4"/>
    </row>
    <row r="51" spans="1:12" ht="3" customHeight="1">
      <c r="A51" s="5"/>
      <c r="C51" s="6"/>
      <c r="D51" s="6"/>
      <c r="E51" s="6"/>
      <c r="F51" s="6"/>
      <c r="G51" s="6"/>
      <c r="H51" s="6"/>
      <c r="I51" s="6"/>
      <c r="J51" s="6"/>
      <c r="L51" s="4"/>
    </row>
    <row r="52" spans="1:12" ht="11.25" hidden="1">
      <c r="A52" s="5"/>
      <c r="B52" s="812"/>
      <c r="C52" s="812"/>
      <c r="D52" s="812"/>
      <c r="E52" s="812"/>
      <c r="F52" s="14" t="s">
        <v>18</v>
      </c>
      <c r="G52" s="743"/>
      <c r="H52" s="743"/>
      <c r="I52" s="743"/>
      <c r="J52" s="743"/>
      <c r="K52" s="17"/>
      <c r="L52" s="4"/>
    </row>
    <row r="53" spans="1:14" ht="11.25">
      <c r="A53" s="5"/>
      <c r="B53" s="812" t="s">
        <v>19</v>
      </c>
      <c r="C53" s="812"/>
      <c r="D53" s="812"/>
      <c r="E53" s="812"/>
      <c r="F53" s="65">
        <v>0.05</v>
      </c>
      <c r="G53" s="743" t="s">
        <v>15</v>
      </c>
      <c r="H53" s="743"/>
      <c r="I53" s="743"/>
      <c r="J53" s="743"/>
      <c r="K53" s="43">
        <f>$K$66*F53</f>
        <v>1306.6040481545178</v>
      </c>
      <c r="L53" s="4"/>
      <c r="N53" s="28"/>
    </row>
    <row r="54" spans="1:14" ht="4.5" customHeight="1">
      <c r="A54" s="735"/>
      <c r="B54" s="756"/>
      <c r="C54" s="756"/>
      <c r="D54" s="756"/>
      <c r="E54" s="756"/>
      <c r="F54" s="756"/>
      <c r="G54" s="756"/>
      <c r="H54" s="756"/>
      <c r="I54" s="756"/>
      <c r="J54" s="756"/>
      <c r="K54" s="756"/>
      <c r="L54" s="757"/>
      <c r="N54" s="28"/>
    </row>
    <row r="55" spans="1:14" ht="11.25" customHeight="1">
      <c r="A55" s="5"/>
      <c r="B55" s="812" t="s">
        <v>39</v>
      </c>
      <c r="C55" s="812"/>
      <c r="D55" s="812"/>
      <c r="E55" s="812"/>
      <c r="F55" s="65">
        <v>0.05</v>
      </c>
      <c r="G55" s="17"/>
      <c r="H55" s="17"/>
      <c r="I55" s="17"/>
      <c r="J55" s="17"/>
      <c r="K55" s="43">
        <f>$K$66*F55</f>
        <v>1306.6040481545178</v>
      </c>
      <c r="L55" s="4"/>
      <c r="N55" s="28"/>
    </row>
    <row r="56" spans="1:14" ht="5.25" customHeight="1">
      <c r="A56" s="735"/>
      <c r="B56" s="756"/>
      <c r="C56" s="756"/>
      <c r="D56" s="756"/>
      <c r="E56" s="756"/>
      <c r="F56" s="756"/>
      <c r="G56" s="756"/>
      <c r="H56" s="756"/>
      <c r="I56" s="756"/>
      <c r="J56" s="756"/>
      <c r="K56" s="756"/>
      <c r="L56" s="757"/>
      <c r="N56" s="28"/>
    </row>
    <row r="57" spans="1:12" ht="12.75" customHeight="1">
      <c r="A57" s="5"/>
      <c r="B57" s="759" t="s">
        <v>66</v>
      </c>
      <c r="C57" s="759"/>
      <c r="D57" s="759"/>
      <c r="E57" s="759"/>
      <c r="F57" s="759"/>
      <c r="G57" s="759"/>
      <c r="H57" s="759"/>
      <c r="I57" s="759"/>
      <c r="J57" s="759"/>
      <c r="K57" s="20">
        <f>K53+K55</f>
        <v>2613.2080963090357</v>
      </c>
      <c r="L57" s="4"/>
    </row>
    <row r="58" spans="1:12" ht="3.75" customHeight="1">
      <c r="A58" s="5"/>
      <c r="B58" s="27"/>
      <c r="C58" s="27"/>
      <c r="D58" s="27"/>
      <c r="E58" s="27"/>
      <c r="F58" s="44"/>
      <c r="G58" s="17"/>
      <c r="H58" s="17"/>
      <c r="I58" s="17"/>
      <c r="J58" s="17"/>
      <c r="K58" s="45"/>
      <c r="L58" s="4"/>
    </row>
    <row r="59" spans="1:12" ht="10.5" customHeight="1">
      <c r="A59" s="5"/>
      <c r="B59" s="809" t="s">
        <v>40</v>
      </c>
      <c r="C59" s="810"/>
      <c r="D59" s="810"/>
      <c r="E59" s="810"/>
      <c r="F59" s="810"/>
      <c r="G59" s="810"/>
      <c r="H59" s="810"/>
      <c r="I59" s="810"/>
      <c r="J59" s="810"/>
      <c r="K59" s="811"/>
      <c r="L59" s="4"/>
    </row>
    <row r="60" spans="1:12" ht="11.25">
      <c r="A60" s="5"/>
      <c r="B60" s="806" t="s">
        <v>20</v>
      </c>
      <c r="C60" s="806"/>
      <c r="D60" s="806"/>
      <c r="E60" s="806"/>
      <c r="F60" s="46">
        <v>0.05</v>
      </c>
      <c r="G60" s="743" t="s">
        <v>15</v>
      </c>
      <c r="H60" s="743"/>
      <c r="I60" s="743"/>
      <c r="J60" s="743"/>
      <c r="K60" s="49">
        <f aca="true" t="shared" si="1" ref="K60:K65">$K$66*F60</f>
        <v>1306.6040481545178</v>
      </c>
      <c r="L60" s="4"/>
    </row>
    <row r="61" spans="1:12" ht="11.25" customHeight="1">
      <c r="A61" s="5"/>
      <c r="B61" s="760" t="s">
        <v>21</v>
      </c>
      <c r="C61" s="760"/>
      <c r="D61" s="760"/>
      <c r="E61" s="760"/>
      <c r="F61" s="47">
        <v>0.0065</v>
      </c>
      <c r="G61" s="743" t="s">
        <v>15</v>
      </c>
      <c r="H61" s="743"/>
      <c r="I61" s="743"/>
      <c r="J61" s="743"/>
      <c r="K61" s="50">
        <f t="shared" si="1"/>
        <v>169.85852626008727</v>
      </c>
      <c r="L61" s="4"/>
    </row>
    <row r="62" spans="1:12" ht="11.25" customHeight="1">
      <c r="A62" s="5"/>
      <c r="B62" s="760" t="s">
        <v>22</v>
      </c>
      <c r="C62" s="760"/>
      <c r="D62" s="760"/>
      <c r="E62" s="760"/>
      <c r="F62" s="47">
        <v>0.03</v>
      </c>
      <c r="G62" s="743" t="s">
        <v>15</v>
      </c>
      <c r="H62" s="743"/>
      <c r="I62" s="743"/>
      <c r="J62" s="743"/>
      <c r="K62" s="50">
        <f t="shared" si="1"/>
        <v>783.9624288927106</v>
      </c>
      <c r="L62" s="4"/>
    </row>
    <row r="63" spans="1:14" ht="11.25" customHeight="1">
      <c r="A63" s="5"/>
      <c r="B63" s="760" t="s">
        <v>23</v>
      </c>
      <c r="C63" s="760"/>
      <c r="D63" s="760"/>
      <c r="E63" s="760"/>
      <c r="F63" s="47">
        <v>0.0038</v>
      </c>
      <c r="G63" s="743" t="s">
        <v>15</v>
      </c>
      <c r="H63" s="743"/>
      <c r="I63" s="743"/>
      <c r="J63" s="743"/>
      <c r="K63" s="50">
        <f t="shared" si="1"/>
        <v>99.30190765974334</v>
      </c>
      <c r="L63" s="4"/>
      <c r="N63" s="28"/>
    </row>
    <row r="64" spans="1:12" ht="11.25">
      <c r="A64" s="5"/>
      <c r="B64" s="760" t="s">
        <v>24</v>
      </c>
      <c r="C64" s="760"/>
      <c r="D64" s="760"/>
      <c r="E64" s="760"/>
      <c r="F64" s="47">
        <v>0.025</v>
      </c>
      <c r="G64" s="743" t="s">
        <v>15</v>
      </c>
      <c r="H64" s="743"/>
      <c r="I64" s="743"/>
      <c r="J64" s="743"/>
      <c r="K64" s="50">
        <f t="shared" si="1"/>
        <v>653.3020240772589</v>
      </c>
      <c r="L64" s="4"/>
    </row>
    <row r="65" spans="1:12" ht="12.75" customHeight="1">
      <c r="A65" s="5"/>
      <c r="B65" s="761" t="s">
        <v>25</v>
      </c>
      <c r="C65" s="762"/>
      <c r="D65" s="762"/>
      <c r="E65" s="762"/>
      <c r="F65" s="48">
        <v>0.0288</v>
      </c>
      <c r="G65" s="743" t="s">
        <v>41</v>
      </c>
      <c r="H65" s="743"/>
      <c r="I65" s="743"/>
      <c r="J65" s="743"/>
      <c r="K65" s="51">
        <f t="shared" si="1"/>
        <v>752.6039317370022</v>
      </c>
      <c r="L65" s="4"/>
    </row>
    <row r="66" spans="1:12" ht="9.75" customHeight="1" hidden="1">
      <c r="A66" s="5"/>
      <c r="B66" s="763"/>
      <c r="C66" s="763"/>
      <c r="D66" s="763"/>
      <c r="E66" s="763"/>
      <c r="F66" s="29"/>
      <c r="G66" s="764"/>
      <c r="H66" s="764"/>
      <c r="I66" s="16"/>
      <c r="J66" s="16"/>
      <c r="K66" s="16">
        <f>VALUE(K48/(1-SUM(F53:F55,F60:F65)))</f>
        <v>26132.080963090353</v>
      </c>
      <c r="L66" s="4"/>
    </row>
    <row r="67" spans="1:12" ht="12.75">
      <c r="A67" s="5"/>
      <c r="B67" s="759" t="s">
        <v>68</v>
      </c>
      <c r="C67" s="759"/>
      <c r="D67" s="759"/>
      <c r="E67" s="759"/>
      <c r="F67" s="759"/>
      <c r="G67" s="759"/>
      <c r="H67" s="759"/>
      <c r="I67" s="759"/>
      <c r="J67" s="759"/>
      <c r="K67" s="20">
        <f>SUM(K60:K65)</f>
        <v>3765.6328667813204</v>
      </c>
      <c r="L67" s="4"/>
    </row>
    <row r="68" spans="1:12" ht="12.75">
      <c r="A68" s="5"/>
      <c r="B68" s="759" t="s">
        <v>69</v>
      </c>
      <c r="C68" s="759"/>
      <c r="D68" s="759"/>
      <c r="E68" s="759"/>
      <c r="F68" s="759"/>
      <c r="G68" s="759"/>
      <c r="H68" s="759"/>
      <c r="I68" s="759"/>
      <c r="J68" s="759"/>
      <c r="K68" s="20">
        <f>K57+K67</f>
        <v>6378.840963090356</v>
      </c>
      <c r="L68" s="4"/>
    </row>
    <row r="69" spans="1:12" ht="12.75">
      <c r="A69" s="5"/>
      <c r="B69" s="759" t="s">
        <v>70</v>
      </c>
      <c r="C69" s="759"/>
      <c r="D69" s="759"/>
      <c r="E69" s="759"/>
      <c r="F69" s="759"/>
      <c r="G69" s="759"/>
      <c r="H69" s="759"/>
      <c r="I69" s="759"/>
      <c r="J69" s="759"/>
      <c r="K69" s="20">
        <f>K48+K68</f>
        <v>26132.080963090353</v>
      </c>
      <c r="L69" s="4"/>
    </row>
    <row r="70" spans="1:12" ht="4.5" customHeight="1">
      <c r="A70" s="735"/>
      <c r="B70" s="736"/>
      <c r="C70" s="736"/>
      <c r="D70" s="736"/>
      <c r="E70" s="736"/>
      <c r="F70" s="736"/>
      <c r="G70" s="736"/>
      <c r="H70" s="736"/>
      <c r="I70" s="736"/>
      <c r="J70" s="736"/>
      <c r="K70" s="736"/>
      <c r="L70" s="737"/>
    </row>
    <row r="71" spans="1:12" ht="26.25" customHeight="1">
      <c r="A71" s="5"/>
      <c r="B71" s="765" t="s">
        <v>72</v>
      </c>
      <c r="C71" s="766"/>
      <c r="D71" s="766"/>
      <c r="E71" s="766"/>
      <c r="F71" s="766"/>
      <c r="G71" s="766"/>
      <c r="H71" s="766"/>
      <c r="I71" s="766"/>
      <c r="J71" s="766"/>
      <c r="K71" s="767"/>
      <c r="L71" s="4"/>
    </row>
    <row r="72" spans="1:12" ht="10.5" customHeight="1">
      <c r="A72" s="5"/>
      <c r="B72" s="744" t="s">
        <v>10</v>
      </c>
      <c r="C72" s="744"/>
      <c r="D72" s="744"/>
      <c r="E72" s="744"/>
      <c r="F72" s="744"/>
      <c r="G72" s="744"/>
      <c r="H72" s="744"/>
      <c r="I72" s="744"/>
      <c r="J72" s="744"/>
      <c r="K72" s="744"/>
      <c r="L72" s="4"/>
    </row>
    <row r="73" spans="1:12" ht="12" customHeight="1">
      <c r="A73" s="5"/>
      <c r="B73" s="759" t="s">
        <v>9</v>
      </c>
      <c r="C73" s="759"/>
      <c r="D73" s="759"/>
      <c r="E73" s="759"/>
      <c r="F73" s="759"/>
      <c r="G73" s="759"/>
      <c r="H73" s="759"/>
      <c r="I73" s="759"/>
      <c r="J73" s="759"/>
      <c r="K73" s="66"/>
      <c r="L73" s="4"/>
    </row>
    <row r="74" spans="1:12" ht="5.25" customHeight="1">
      <c r="A74" s="735"/>
      <c r="B74" s="736"/>
      <c r="C74" s="736"/>
      <c r="D74" s="736"/>
      <c r="E74" s="736"/>
      <c r="F74" s="736"/>
      <c r="G74" s="736"/>
      <c r="H74" s="736"/>
      <c r="I74" s="736"/>
      <c r="J74" s="736"/>
      <c r="K74" s="736"/>
      <c r="L74" s="737"/>
    </row>
    <row r="75" spans="1:12" s="32" customFormat="1" ht="15.75">
      <c r="A75" s="30"/>
      <c r="B75" s="768" t="s">
        <v>71</v>
      </c>
      <c r="C75" s="769"/>
      <c r="D75" s="769"/>
      <c r="E75" s="769"/>
      <c r="F75" s="769"/>
      <c r="G75" s="769"/>
      <c r="H75" s="769"/>
      <c r="I75" s="770"/>
      <c r="J75" s="747">
        <f>K69+K73</f>
        <v>26132.080963090353</v>
      </c>
      <c r="K75" s="748"/>
      <c r="L75" s="31"/>
    </row>
    <row r="76" spans="1:12" ht="3" customHeight="1">
      <c r="A76" s="67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70"/>
    </row>
    <row r="78" ht="11.25">
      <c r="K78" s="6">
        <v>550</v>
      </c>
    </row>
    <row r="80" ht="11.25">
      <c r="K80" s="45">
        <f>J75/K78</f>
        <v>47.5128744783461</v>
      </c>
    </row>
  </sheetData>
  <sheetProtection/>
  <mergeCells count="106">
    <mergeCell ref="C45:E45"/>
    <mergeCell ref="A54:L54"/>
    <mergeCell ref="B67:J67"/>
    <mergeCell ref="B60:E60"/>
    <mergeCell ref="G52:J52"/>
    <mergeCell ref="B53:E53"/>
    <mergeCell ref="B48:J48"/>
    <mergeCell ref="B50:K50"/>
    <mergeCell ref="B52:E52"/>
    <mergeCell ref="G53:J53"/>
    <mergeCell ref="B69:J69"/>
    <mergeCell ref="C46:E46"/>
    <mergeCell ref="B47:J47"/>
    <mergeCell ref="G62:J62"/>
    <mergeCell ref="B63:E63"/>
    <mergeCell ref="B64:E64"/>
    <mergeCell ref="G65:J65"/>
    <mergeCell ref="B59:K59"/>
    <mergeCell ref="B55:E55"/>
    <mergeCell ref="G60:J60"/>
    <mergeCell ref="C43:E43"/>
    <mergeCell ref="C44:E44"/>
    <mergeCell ref="G29:J29"/>
    <mergeCell ref="I21:J21"/>
    <mergeCell ref="G26:K26"/>
    <mergeCell ref="B27:E27"/>
    <mergeCell ref="G28:K28"/>
    <mergeCell ref="G34:J34"/>
    <mergeCell ref="B24:K24"/>
    <mergeCell ref="C41:E41"/>
    <mergeCell ref="A11:L11"/>
    <mergeCell ref="A12:C12"/>
    <mergeCell ref="H10:K10"/>
    <mergeCell ref="C42:E42"/>
    <mergeCell ref="G27:J27"/>
    <mergeCell ref="D12:K12"/>
    <mergeCell ref="C18:D18"/>
    <mergeCell ref="C19:D19"/>
    <mergeCell ref="A15:L15"/>
    <mergeCell ref="B26:E26"/>
    <mergeCell ref="H6:K6"/>
    <mergeCell ref="H8:K8"/>
    <mergeCell ref="A9:L9"/>
    <mergeCell ref="A10:C10"/>
    <mergeCell ref="B4:K4"/>
    <mergeCell ref="B1:K1"/>
    <mergeCell ref="B2:K2"/>
    <mergeCell ref="B3:K3"/>
    <mergeCell ref="A5:L5"/>
    <mergeCell ref="A7:L7"/>
    <mergeCell ref="C20:D20"/>
    <mergeCell ref="D6:E6"/>
    <mergeCell ref="D8:E8"/>
    <mergeCell ref="I19:J19"/>
    <mergeCell ref="A6:C6"/>
    <mergeCell ref="A8:C8"/>
    <mergeCell ref="A13:L13"/>
    <mergeCell ref="B14:K14"/>
    <mergeCell ref="C16:D16"/>
    <mergeCell ref="C17:D17"/>
    <mergeCell ref="B73:J73"/>
    <mergeCell ref="B71:K71"/>
    <mergeCell ref="B75:I75"/>
    <mergeCell ref="H40:J40"/>
    <mergeCell ref="C40:E40"/>
    <mergeCell ref="A56:L56"/>
    <mergeCell ref="B57:J57"/>
    <mergeCell ref="H46:J46"/>
    <mergeCell ref="H43:J43"/>
    <mergeCell ref="H44:J44"/>
    <mergeCell ref="B68:J68"/>
    <mergeCell ref="B61:E61"/>
    <mergeCell ref="B62:E62"/>
    <mergeCell ref="B65:E65"/>
    <mergeCell ref="G61:J61"/>
    <mergeCell ref="B66:E66"/>
    <mergeCell ref="G66:H66"/>
    <mergeCell ref="G63:J63"/>
    <mergeCell ref="B34:E34"/>
    <mergeCell ref="B36:J36"/>
    <mergeCell ref="B28:E28"/>
    <mergeCell ref="A35:L35"/>
    <mergeCell ref="B33:E33"/>
    <mergeCell ref="G31:J31"/>
    <mergeCell ref="B31:E31"/>
    <mergeCell ref="G33:J33"/>
    <mergeCell ref="J75:K75"/>
    <mergeCell ref="B29:E29"/>
    <mergeCell ref="C21:D21"/>
    <mergeCell ref="I16:J16"/>
    <mergeCell ref="I17:J17"/>
    <mergeCell ref="I20:J20"/>
    <mergeCell ref="I18:J18"/>
    <mergeCell ref="H45:J45"/>
    <mergeCell ref="B22:J22"/>
    <mergeCell ref="H42:J42"/>
    <mergeCell ref="A70:L70"/>
    <mergeCell ref="A74:L74"/>
    <mergeCell ref="B30:E30"/>
    <mergeCell ref="G30:K30"/>
    <mergeCell ref="B38:K38"/>
    <mergeCell ref="B32:E32"/>
    <mergeCell ref="G32:K32"/>
    <mergeCell ref="G64:J64"/>
    <mergeCell ref="B72:K72"/>
    <mergeCell ref="H41:J41"/>
  </mergeCells>
  <printOptions horizontalCentered="1" verticalCentered="1"/>
  <pageMargins left="0.1968503937007874" right="0.15748031496062992" top="0.3937007874015748" bottom="0.1968503937007874" header="0.5118110236220472" footer="0.1968503937007874"/>
  <pageSetup fitToHeight="1" fitToWidth="1" horizontalDpi="300" verticalDpi="300" orientation="portrait" paperSize="9" r:id="rId2"/>
  <headerFooter alignWithMargins="0">
    <oddFooter>&amp;CPágina &amp;P</oddFooter>
  </headerFooter>
  <rowBreaks count="1" manualBreakCount="1">
    <brk id="37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C1">
      <selection activeCell="I54" sqref="I54"/>
    </sheetView>
  </sheetViews>
  <sheetFormatPr defaultColWidth="9.140625" defaultRowHeight="12.75"/>
  <cols>
    <col min="1" max="1" width="5.7109375" style="74" customWidth="1"/>
    <col min="2" max="2" width="68.57421875" style="74" customWidth="1"/>
    <col min="3" max="3" width="6.140625" style="74" customWidth="1"/>
    <col min="4" max="4" width="7.00390625" style="75" customWidth="1"/>
    <col min="5" max="5" width="9.00390625" style="75" customWidth="1"/>
    <col min="6" max="6" width="9.140625" style="75" customWidth="1"/>
    <col min="7" max="7" width="14.57421875" style="75" customWidth="1"/>
    <col min="8" max="8" width="9.57421875" style="75" customWidth="1"/>
    <col min="9" max="9" width="11.28125" style="75" customWidth="1"/>
    <col min="10" max="10" width="12.140625" style="76" bestFit="1" customWidth="1"/>
    <col min="11" max="11" width="18.421875" style="361" customWidth="1"/>
    <col min="12" max="12" width="13.57421875" style="361" customWidth="1"/>
    <col min="13" max="13" width="17.421875" style="76" customWidth="1"/>
    <col min="14" max="16384" width="9.140625" style="73" customWidth="1"/>
  </cols>
  <sheetData>
    <row r="1" spans="1:13" ht="12.75">
      <c r="A1" s="1036" t="s">
        <v>503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</row>
    <row r="2" spans="1:13" ht="12.75">
      <c r="A2" s="1036"/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</row>
    <row r="3" spans="1:13" ht="6" customHeight="1">
      <c r="A3" s="1036"/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</row>
    <row r="4" spans="1:13" ht="6" customHeight="1" hidden="1">
      <c r="A4" s="1036"/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</row>
    <row r="5" spans="1:13" s="157" customFormat="1" ht="15" customHeight="1" hidden="1">
      <c r="A5" s="1036"/>
      <c r="B5" s="1036"/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</row>
    <row r="6" spans="1:13" s="157" customFormat="1" ht="15" customHeight="1" hidden="1">
      <c r="A6" s="1036"/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</row>
    <row r="7" spans="1:13" s="157" customFormat="1" ht="15.75" hidden="1">
      <c r="A7" s="1036"/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</row>
    <row r="8" spans="1:13" s="162" customFormat="1" ht="11.25">
      <c r="A8" s="1037" t="s">
        <v>57</v>
      </c>
      <c r="B8" s="1037" t="s">
        <v>126</v>
      </c>
      <c r="C8" s="1037" t="s">
        <v>376</v>
      </c>
      <c r="D8" s="1038" t="s">
        <v>377</v>
      </c>
      <c r="E8" s="1039" t="s">
        <v>382</v>
      </c>
      <c r="F8" s="1039"/>
      <c r="G8" s="1039" t="s">
        <v>384</v>
      </c>
      <c r="H8" s="1039" t="s">
        <v>385</v>
      </c>
      <c r="I8" s="1039"/>
      <c r="J8" s="1034" t="s">
        <v>384</v>
      </c>
      <c r="K8" s="1034" t="s">
        <v>386</v>
      </c>
      <c r="L8" s="1034" t="s">
        <v>384</v>
      </c>
      <c r="M8" s="1034" t="s">
        <v>383</v>
      </c>
    </row>
    <row r="9" spans="1:13" s="163" customFormat="1" ht="11.25">
      <c r="A9" s="1037"/>
      <c r="B9" s="1037"/>
      <c r="C9" s="1037"/>
      <c r="D9" s="1038"/>
      <c r="E9" s="1039"/>
      <c r="F9" s="1039"/>
      <c r="G9" s="1039"/>
      <c r="H9" s="1039"/>
      <c r="I9" s="1039"/>
      <c r="J9" s="1034"/>
      <c r="K9" s="1034"/>
      <c r="L9" s="1034"/>
      <c r="M9" s="1034"/>
    </row>
    <row r="10" spans="1:13" s="165" customFormat="1" ht="35.25" customHeight="1">
      <c r="A10" s="491" t="s">
        <v>437</v>
      </c>
      <c r="B10" s="308" t="s">
        <v>387</v>
      </c>
      <c r="C10" s="492" t="s">
        <v>388</v>
      </c>
      <c r="D10" s="493">
        <v>1</v>
      </c>
      <c r="E10" s="1035" t="s">
        <v>389</v>
      </c>
      <c r="F10" s="962"/>
      <c r="G10" s="494">
        <v>25.82</v>
      </c>
      <c r="H10" s="1032" t="s">
        <v>390</v>
      </c>
      <c r="I10" s="1033"/>
      <c r="J10" s="494">
        <v>13.27</v>
      </c>
      <c r="K10" s="495" t="s">
        <v>391</v>
      </c>
      <c r="L10" s="494">
        <v>13.65</v>
      </c>
      <c r="M10" s="496">
        <f>TRUNC((G10+J10+L10),2)/3</f>
        <v>17.580000000000002</v>
      </c>
    </row>
    <row r="11" spans="1:14" s="165" customFormat="1" ht="28.5" customHeight="1">
      <c r="A11" s="491" t="s">
        <v>441</v>
      </c>
      <c r="B11" s="308" t="s">
        <v>392</v>
      </c>
      <c r="C11" s="492" t="s">
        <v>388</v>
      </c>
      <c r="D11" s="493">
        <v>1</v>
      </c>
      <c r="E11" s="1035" t="s">
        <v>389</v>
      </c>
      <c r="F11" s="962"/>
      <c r="G11" s="494">
        <v>38.9</v>
      </c>
      <c r="H11" s="1032" t="s">
        <v>393</v>
      </c>
      <c r="I11" s="1033"/>
      <c r="J11" s="494">
        <v>33.38</v>
      </c>
      <c r="K11" s="495" t="s">
        <v>391</v>
      </c>
      <c r="L11" s="494">
        <v>21.95</v>
      </c>
      <c r="M11" s="496">
        <f>TRUNC((G11+J11+L11),2)/3</f>
        <v>31.41</v>
      </c>
      <c r="N11" s="497"/>
    </row>
    <row r="12" spans="1:13" ht="17.25" customHeight="1">
      <c r="A12" s="491">
        <v>22</v>
      </c>
      <c r="B12" s="308" t="s">
        <v>394</v>
      </c>
      <c r="C12" s="492" t="s">
        <v>388</v>
      </c>
      <c r="D12" s="304">
        <v>1</v>
      </c>
      <c r="E12" s="1032" t="s">
        <v>395</v>
      </c>
      <c r="F12" s="1033"/>
      <c r="G12" s="494">
        <v>48.2</v>
      </c>
      <c r="H12" s="1032" t="s">
        <v>393</v>
      </c>
      <c r="I12" s="1033"/>
      <c r="J12" s="494">
        <v>37.83</v>
      </c>
      <c r="K12" s="495" t="s">
        <v>396</v>
      </c>
      <c r="L12" s="494">
        <v>45.47</v>
      </c>
      <c r="M12" s="496">
        <f>TRUNC((G12+J12+L12),2)/3</f>
        <v>43.833333333333336</v>
      </c>
    </row>
    <row r="13" spans="1:13" s="165" customFormat="1" ht="12.75">
      <c r="A13" s="491" t="s">
        <v>438</v>
      </c>
      <c r="B13" s="308" t="s">
        <v>397</v>
      </c>
      <c r="C13" s="492" t="s">
        <v>388</v>
      </c>
      <c r="D13" s="493">
        <v>1</v>
      </c>
      <c r="E13" s="1035" t="s">
        <v>389</v>
      </c>
      <c r="F13" s="962"/>
      <c r="G13" s="494">
        <v>36</v>
      </c>
      <c r="H13" s="1032" t="s">
        <v>393</v>
      </c>
      <c r="I13" s="1033"/>
      <c r="J13" s="494">
        <v>58.79</v>
      </c>
      <c r="K13" s="495" t="s">
        <v>391</v>
      </c>
      <c r="L13" s="494">
        <v>28.85</v>
      </c>
      <c r="M13" s="496">
        <f aca="true" t="shared" si="0" ref="M13:M37">TRUNC((G13+J13+L13),2)/3</f>
        <v>41.21333333333333</v>
      </c>
    </row>
    <row r="14" spans="1:13" s="165" customFormat="1" ht="12.75">
      <c r="A14" s="491" t="s">
        <v>440</v>
      </c>
      <c r="B14" s="308" t="s">
        <v>398</v>
      </c>
      <c r="C14" s="492" t="s">
        <v>388</v>
      </c>
      <c r="D14" s="493">
        <v>1</v>
      </c>
      <c r="E14" s="1035" t="s">
        <v>389</v>
      </c>
      <c r="F14" s="962"/>
      <c r="G14" s="494">
        <v>107.88</v>
      </c>
      <c r="H14" s="1032" t="s">
        <v>393</v>
      </c>
      <c r="I14" s="1033"/>
      <c r="J14" s="494">
        <v>81.92</v>
      </c>
      <c r="K14" s="495" t="s">
        <v>396</v>
      </c>
      <c r="L14" s="494">
        <v>67.25</v>
      </c>
      <c r="M14" s="496">
        <f t="shared" si="0"/>
        <v>85.68333333333334</v>
      </c>
    </row>
    <row r="15" spans="1:13" s="165" customFormat="1" ht="12.75">
      <c r="A15" s="491" t="s">
        <v>442</v>
      </c>
      <c r="B15" s="308" t="s">
        <v>399</v>
      </c>
      <c r="C15" s="492" t="s">
        <v>388</v>
      </c>
      <c r="D15" s="493">
        <v>1</v>
      </c>
      <c r="E15" s="1035" t="s">
        <v>389</v>
      </c>
      <c r="F15" s="962"/>
      <c r="G15" s="494">
        <v>99.99</v>
      </c>
      <c r="H15" s="1032" t="s">
        <v>393</v>
      </c>
      <c r="I15" s="1033"/>
      <c r="J15" s="494">
        <v>85.77</v>
      </c>
      <c r="K15" s="495" t="s">
        <v>391</v>
      </c>
      <c r="L15" s="494">
        <v>39.68</v>
      </c>
      <c r="M15" s="496">
        <f t="shared" si="0"/>
        <v>75.14666666666666</v>
      </c>
    </row>
    <row r="16" spans="1:13" s="165" customFormat="1" ht="12.75">
      <c r="A16" s="491" t="s">
        <v>443</v>
      </c>
      <c r="B16" s="308" t="s">
        <v>400</v>
      </c>
      <c r="C16" s="492" t="s">
        <v>388</v>
      </c>
      <c r="D16" s="493">
        <v>1</v>
      </c>
      <c r="E16" s="1035" t="s">
        <v>389</v>
      </c>
      <c r="F16" s="962"/>
      <c r="G16" s="494">
        <v>105.99</v>
      </c>
      <c r="H16" s="1032" t="s">
        <v>393</v>
      </c>
      <c r="I16" s="1033"/>
      <c r="J16" s="494">
        <v>105.42</v>
      </c>
      <c r="K16" s="495" t="s">
        <v>396</v>
      </c>
      <c r="L16" s="494">
        <v>86.65</v>
      </c>
      <c r="M16" s="496">
        <f t="shared" si="0"/>
        <v>99.35333333333334</v>
      </c>
    </row>
    <row r="17" spans="1:13" s="165" customFormat="1" ht="12.75">
      <c r="A17" s="491" t="s">
        <v>444</v>
      </c>
      <c r="B17" s="308" t="s">
        <v>401</v>
      </c>
      <c r="C17" s="492" t="s">
        <v>388</v>
      </c>
      <c r="D17" s="493">
        <v>1</v>
      </c>
      <c r="E17" s="1032" t="s">
        <v>402</v>
      </c>
      <c r="F17" s="1033"/>
      <c r="G17" s="494">
        <v>62.1</v>
      </c>
      <c r="H17" s="1032" t="s">
        <v>393</v>
      </c>
      <c r="I17" s="1033"/>
      <c r="J17" s="494">
        <v>105.42</v>
      </c>
      <c r="K17" s="495" t="s">
        <v>396</v>
      </c>
      <c r="L17" s="494">
        <v>82.72</v>
      </c>
      <c r="M17" s="496">
        <f t="shared" si="0"/>
        <v>83.41333333333334</v>
      </c>
    </row>
    <row r="18" spans="1:13" ht="22.5" customHeight="1">
      <c r="A18" s="491" t="s">
        <v>447</v>
      </c>
      <c r="B18" s="308" t="s">
        <v>403</v>
      </c>
      <c r="C18" s="492" t="s">
        <v>388</v>
      </c>
      <c r="D18" s="304">
        <v>1</v>
      </c>
      <c r="E18" s="1032" t="s">
        <v>404</v>
      </c>
      <c r="F18" s="1033"/>
      <c r="G18" s="494">
        <v>199.9</v>
      </c>
      <c r="H18" s="1032" t="s">
        <v>405</v>
      </c>
      <c r="I18" s="1033"/>
      <c r="J18" s="494">
        <v>148</v>
      </c>
      <c r="K18" s="495" t="s">
        <v>396</v>
      </c>
      <c r="L18" s="494">
        <v>122.37</v>
      </c>
      <c r="M18" s="496">
        <f t="shared" si="0"/>
        <v>156.75666666666666</v>
      </c>
    </row>
    <row r="19" spans="1:13" ht="12.75">
      <c r="A19" s="491" t="s">
        <v>448</v>
      </c>
      <c r="B19" s="308" t="s">
        <v>406</v>
      </c>
      <c r="C19" s="492" t="s">
        <v>388</v>
      </c>
      <c r="D19" s="304">
        <v>1</v>
      </c>
      <c r="E19" s="1032" t="s">
        <v>389</v>
      </c>
      <c r="F19" s="1033"/>
      <c r="G19" s="494">
        <v>9.77</v>
      </c>
      <c r="H19" s="1032" t="s">
        <v>393</v>
      </c>
      <c r="I19" s="1033"/>
      <c r="J19" s="494">
        <v>7.23</v>
      </c>
      <c r="K19" s="495" t="s">
        <v>396</v>
      </c>
      <c r="L19" s="494">
        <v>5.94</v>
      </c>
      <c r="M19" s="496">
        <f t="shared" si="0"/>
        <v>7.646666666666667</v>
      </c>
    </row>
    <row r="20" spans="1:13" ht="12.75">
      <c r="A20" s="491" t="s">
        <v>450</v>
      </c>
      <c r="B20" s="308" t="s">
        <v>407</v>
      </c>
      <c r="C20" s="492" t="s">
        <v>388</v>
      </c>
      <c r="D20" s="304">
        <v>1</v>
      </c>
      <c r="E20" s="1032" t="s">
        <v>408</v>
      </c>
      <c r="F20" s="1033"/>
      <c r="G20" s="494">
        <v>1703</v>
      </c>
      <c r="H20" s="1032" t="s">
        <v>409</v>
      </c>
      <c r="I20" s="1033"/>
      <c r="J20" s="494">
        <v>1250</v>
      </c>
      <c r="K20" s="495" t="s">
        <v>410</v>
      </c>
      <c r="L20" s="494">
        <v>1365</v>
      </c>
      <c r="M20" s="496">
        <f t="shared" si="0"/>
        <v>1439.3333333333333</v>
      </c>
    </row>
    <row r="21" spans="1:13" ht="12.75">
      <c r="A21" s="491" t="s">
        <v>452</v>
      </c>
      <c r="B21" s="308" t="s">
        <v>411</v>
      </c>
      <c r="C21" s="492" t="s">
        <v>388</v>
      </c>
      <c r="D21" s="304">
        <v>1</v>
      </c>
      <c r="E21" s="1032" t="s">
        <v>408</v>
      </c>
      <c r="F21" s="1033"/>
      <c r="G21" s="494">
        <v>575</v>
      </c>
      <c r="H21" s="1032" t="s">
        <v>409</v>
      </c>
      <c r="I21" s="1033"/>
      <c r="J21" s="494">
        <v>610</v>
      </c>
      <c r="K21" s="495" t="s">
        <v>412</v>
      </c>
      <c r="L21" s="494">
        <v>587</v>
      </c>
      <c r="M21" s="496">
        <f t="shared" si="0"/>
        <v>590.6666666666666</v>
      </c>
    </row>
    <row r="22" spans="1:13" ht="12.75">
      <c r="A22" s="491" t="s">
        <v>453</v>
      </c>
      <c r="B22" s="308" t="s">
        <v>413</v>
      </c>
      <c r="C22" s="492" t="s">
        <v>388</v>
      </c>
      <c r="D22" s="304">
        <v>1</v>
      </c>
      <c r="E22" s="1032" t="s">
        <v>408</v>
      </c>
      <c r="F22" s="1033"/>
      <c r="G22" s="494">
        <v>790.7</v>
      </c>
      <c r="H22" s="1032" t="s">
        <v>409</v>
      </c>
      <c r="I22" s="1033"/>
      <c r="J22" s="494">
        <v>740</v>
      </c>
      <c r="K22" s="495" t="s">
        <v>412</v>
      </c>
      <c r="L22" s="494">
        <v>771</v>
      </c>
      <c r="M22" s="496">
        <f t="shared" si="0"/>
        <v>767.2333333333332</v>
      </c>
    </row>
    <row r="23" spans="1:13" ht="12.75">
      <c r="A23" s="491" t="s">
        <v>454</v>
      </c>
      <c r="B23" s="308" t="s">
        <v>414</v>
      </c>
      <c r="C23" s="492" t="s">
        <v>388</v>
      </c>
      <c r="D23" s="304">
        <v>1</v>
      </c>
      <c r="E23" s="1032" t="s">
        <v>408</v>
      </c>
      <c r="F23" s="1033"/>
      <c r="G23" s="494">
        <v>1085</v>
      </c>
      <c r="H23" s="1032" t="s">
        <v>409</v>
      </c>
      <c r="I23" s="1033"/>
      <c r="J23" s="494">
        <v>1000</v>
      </c>
      <c r="K23" s="495" t="s">
        <v>412</v>
      </c>
      <c r="L23" s="494">
        <v>1077</v>
      </c>
      <c r="M23" s="496">
        <f t="shared" si="0"/>
        <v>1054</v>
      </c>
    </row>
    <row r="24" spans="1:13" ht="25.5">
      <c r="A24" s="491" t="s">
        <v>455</v>
      </c>
      <c r="B24" s="308" t="s">
        <v>415</v>
      </c>
      <c r="C24" s="492" t="s">
        <v>388</v>
      </c>
      <c r="D24" s="304">
        <v>1</v>
      </c>
      <c r="E24" s="1032" t="s">
        <v>404</v>
      </c>
      <c r="F24" s="1033"/>
      <c r="G24" s="494">
        <v>189.9</v>
      </c>
      <c r="H24" s="1032" t="s">
        <v>393</v>
      </c>
      <c r="I24" s="1033"/>
      <c r="J24" s="494">
        <v>94.55</v>
      </c>
      <c r="K24" s="495" t="s">
        <v>416</v>
      </c>
      <c r="L24" s="494">
        <v>295.98</v>
      </c>
      <c r="M24" s="496">
        <f t="shared" si="0"/>
        <v>193.47666666666666</v>
      </c>
    </row>
    <row r="25" spans="1:13" ht="12.75" customHeight="1">
      <c r="A25" s="491" t="s">
        <v>456</v>
      </c>
      <c r="B25" s="308" t="s">
        <v>417</v>
      </c>
      <c r="C25" s="492" t="s">
        <v>388</v>
      </c>
      <c r="D25" s="304">
        <v>1</v>
      </c>
      <c r="E25" s="1032" t="s">
        <v>418</v>
      </c>
      <c r="F25" s="1033"/>
      <c r="G25" s="494">
        <v>743.73</v>
      </c>
      <c r="H25" s="1032" t="s">
        <v>419</v>
      </c>
      <c r="I25" s="1033"/>
      <c r="J25" s="494">
        <v>617.8</v>
      </c>
      <c r="K25" s="495" t="s">
        <v>391</v>
      </c>
      <c r="L25" s="494">
        <v>595.2</v>
      </c>
      <c r="M25" s="496">
        <f t="shared" si="0"/>
        <v>652.2433333333333</v>
      </c>
    </row>
    <row r="26" spans="1:13" ht="12.75" customHeight="1">
      <c r="A26" s="491" t="s">
        <v>458</v>
      </c>
      <c r="B26" s="308" t="s">
        <v>420</v>
      </c>
      <c r="C26" s="492" t="s">
        <v>388</v>
      </c>
      <c r="D26" s="304">
        <v>1</v>
      </c>
      <c r="E26" s="1032" t="s">
        <v>418</v>
      </c>
      <c r="F26" s="1033"/>
      <c r="G26" s="494">
        <v>1098.2</v>
      </c>
      <c r="H26" s="1032" t="s">
        <v>419</v>
      </c>
      <c r="I26" s="1033"/>
      <c r="J26" s="494">
        <v>985.2</v>
      </c>
      <c r="K26" s="495" t="s">
        <v>391</v>
      </c>
      <c r="L26" s="494">
        <v>1125.3</v>
      </c>
      <c r="M26" s="496">
        <f t="shared" si="0"/>
        <v>1069.5666666666666</v>
      </c>
    </row>
    <row r="27" spans="1:13" ht="12.75">
      <c r="A27" s="491" t="s">
        <v>459</v>
      </c>
      <c r="B27" s="308" t="s">
        <v>421</v>
      </c>
      <c r="C27" s="492" t="s">
        <v>388</v>
      </c>
      <c r="D27" s="304">
        <v>1</v>
      </c>
      <c r="E27" s="1032" t="s">
        <v>418</v>
      </c>
      <c r="F27" s="1033"/>
      <c r="G27" s="494">
        <v>1250</v>
      </c>
      <c r="H27" s="1032" t="s">
        <v>419</v>
      </c>
      <c r="I27" s="1033"/>
      <c r="J27" s="494">
        <v>1110.3</v>
      </c>
      <c r="K27" s="495" t="s">
        <v>391</v>
      </c>
      <c r="L27" s="494">
        <v>1285.45</v>
      </c>
      <c r="M27" s="496">
        <f t="shared" si="0"/>
        <v>1215.25</v>
      </c>
    </row>
    <row r="28" spans="1:13" ht="12.75">
      <c r="A28" s="491" t="s">
        <v>460</v>
      </c>
      <c r="B28" s="308" t="s">
        <v>422</v>
      </c>
      <c r="C28" s="492" t="s">
        <v>388</v>
      </c>
      <c r="D28" s="304">
        <v>1</v>
      </c>
      <c r="E28" s="1032" t="s">
        <v>389</v>
      </c>
      <c r="F28" s="1033"/>
      <c r="G28" s="494">
        <v>83</v>
      </c>
      <c r="H28" s="1032" t="s">
        <v>393</v>
      </c>
      <c r="I28" s="1033"/>
      <c r="J28" s="494">
        <v>316.82</v>
      </c>
      <c r="K28" s="495" t="s">
        <v>396</v>
      </c>
      <c r="L28" s="494">
        <v>220.27</v>
      </c>
      <c r="M28" s="496">
        <f t="shared" si="0"/>
        <v>206.6966666666667</v>
      </c>
    </row>
    <row r="29" spans="1:13" ht="12.75">
      <c r="A29" s="491" t="s">
        <v>461</v>
      </c>
      <c r="B29" s="308" t="s">
        <v>423</v>
      </c>
      <c r="C29" s="492" t="s">
        <v>388</v>
      </c>
      <c r="D29" s="304">
        <v>1</v>
      </c>
      <c r="E29" s="1032" t="s">
        <v>389</v>
      </c>
      <c r="F29" s="1033"/>
      <c r="G29" s="494">
        <v>98</v>
      </c>
      <c r="H29" s="1032" t="s">
        <v>393</v>
      </c>
      <c r="I29" s="1033"/>
      <c r="J29" s="494">
        <v>425.84</v>
      </c>
      <c r="K29" s="495" t="s">
        <v>396</v>
      </c>
      <c r="L29" s="494">
        <v>363.86</v>
      </c>
      <c r="M29" s="496">
        <f t="shared" si="0"/>
        <v>295.90000000000003</v>
      </c>
    </row>
    <row r="30" spans="1:13" ht="12.75">
      <c r="A30" s="491" t="s">
        <v>464</v>
      </c>
      <c r="B30" s="308" t="s">
        <v>424</v>
      </c>
      <c r="C30" s="492" t="s">
        <v>388</v>
      </c>
      <c r="D30" s="304">
        <v>1</v>
      </c>
      <c r="E30" s="1032" t="s">
        <v>404</v>
      </c>
      <c r="F30" s="1033"/>
      <c r="G30" s="494">
        <v>47.49</v>
      </c>
      <c r="H30" s="1032" t="s">
        <v>416</v>
      </c>
      <c r="I30" s="1033"/>
      <c r="J30" s="494">
        <v>53.76</v>
      </c>
      <c r="K30" s="495" t="s">
        <v>396</v>
      </c>
      <c r="L30" s="494">
        <v>65.21</v>
      </c>
      <c r="M30" s="496">
        <f t="shared" si="0"/>
        <v>55.48666666666667</v>
      </c>
    </row>
    <row r="31" spans="1:13" ht="12.75">
      <c r="A31" s="491" t="s">
        <v>485</v>
      </c>
      <c r="B31" s="308" t="s">
        <v>425</v>
      </c>
      <c r="C31" s="492" t="s">
        <v>388</v>
      </c>
      <c r="D31" s="304">
        <v>1</v>
      </c>
      <c r="E31" s="1032" t="s">
        <v>404</v>
      </c>
      <c r="F31" s="1033"/>
      <c r="G31" s="494">
        <v>50.31</v>
      </c>
      <c r="H31" s="1032" t="s">
        <v>416</v>
      </c>
      <c r="I31" s="1033"/>
      <c r="J31" s="494">
        <v>69.22</v>
      </c>
      <c r="K31" s="495"/>
      <c r="L31" s="494"/>
      <c r="M31" s="496">
        <f>TRUNC((G31+J31+L31),2)/2</f>
        <v>59.765</v>
      </c>
    </row>
    <row r="32" spans="1:13" ht="12.75">
      <c r="A32" s="491" t="s">
        <v>486</v>
      </c>
      <c r="B32" s="308" t="s">
        <v>426</v>
      </c>
      <c r="C32" s="492" t="s">
        <v>388</v>
      </c>
      <c r="D32" s="304">
        <v>1</v>
      </c>
      <c r="E32" s="1032" t="s">
        <v>404</v>
      </c>
      <c r="F32" s="1033"/>
      <c r="G32" s="494">
        <v>54.17</v>
      </c>
      <c r="H32" s="1032" t="s">
        <v>416</v>
      </c>
      <c r="I32" s="1033"/>
      <c r="J32" s="494">
        <v>66.74</v>
      </c>
      <c r="K32" s="495"/>
      <c r="L32" s="494"/>
      <c r="M32" s="496">
        <f>TRUNC((G32+J32+L32),2)/2</f>
        <v>60.455</v>
      </c>
    </row>
    <row r="33" spans="1:13" ht="12.75">
      <c r="A33" s="491" t="s">
        <v>487</v>
      </c>
      <c r="B33" s="308" t="s">
        <v>427</v>
      </c>
      <c r="C33" s="492" t="s">
        <v>388</v>
      </c>
      <c r="D33" s="304">
        <v>1</v>
      </c>
      <c r="E33" s="1032" t="s">
        <v>404</v>
      </c>
      <c r="F33" s="1033"/>
      <c r="G33" s="494">
        <v>52.82</v>
      </c>
      <c r="H33" s="1032" t="s">
        <v>393</v>
      </c>
      <c r="I33" s="1033"/>
      <c r="J33" s="494">
        <v>66.55</v>
      </c>
      <c r="K33" s="495"/>
      <c r="L33" s="494"/>
      <c r="M33" s="496">
        <f>TRUNC((G33+J33+L33),2)/2</f>
        <v>59.685</v>
      </c>
    </row>
    <row r="34" spans="1:13" ht="12.75">
      <c r="A34" s="491" t="s">
        <v>488</v>
      </c>
      <c r="B34" s="308" t="s">
        <v>428</v>
      </c>
      <c r="C34" s="492" t="s">
        <v>388</v>
      </c>
      <c r="D34" s="304">
        <v>1</v>
      </c>
      <c r="E34" s="1032" t="s">
        <v>404</v>
      </c>
      <c r="F34" s="1033"/>
      <c r="G34" s="494">
        <v>62.1</v>
      </c>
      <c r="H34" s="1032" t="s">
        <v>393</v>
      </c>
      <c r="I34" s="1033"/>
      <c r="J34" s="494">
        <v>87.13</v>
      </c>
      <c r="K34" s="495"/>
      <c r="L34" s="494"/>
      <c r="M34" s="496">
        <f>TRUNC((G34+J34+L34),2)/2</f>
        <v>74.615</v>
      </c>
    </row>
    <row r="35" spans="1:13" ht="12.75">
      <c r="A35" s="491" t="s">
        <v>489</v>
      </c>
      <c r="B35" s="308" t="s">
        <v>429</v>
      </c>
      <c r="C35" s="492" t="s">
        <v>388</v>
      </c>
      <c r="D35" s="304">
        <v>1</v>
      </c>
      <c r="E35" s="1032" t="s">
        <v>404</v>
      </c>
      <c r="F35" s="1033"/>
      <c r="G35" s="494">
        <v>380</v>
      </c>
      <c r="H35" s="1032" t="s">
        <v>393</v>
      </c>
      <c r="I35" s="1033"/>
      <c r="J35" s="494">
        <v>491.46</v>
      </c>
      <c r="K35" s="495"/>
      <c r="L35" s="494"/>
      <c r="M35" s="496">
        <f>TRUNC((G35+J35+L35),2)/2</f>
        <v>435.73</v>
      </c>
    </row>
    <row r="36" spans="1:13" ht="12.75">
      <c r="A36" s="491" t="s">
        <v>495</v>
      </c>
      <c r="B36" s="308" t="s">
        <v>430</v>
      </c>
      <c r="C36" s="492" t="s">
        <v>388</v>
      </c>
      <c r="D36" s="304">
        <v>1</v>
      </c>
      <c r="E36" s="1032"/>
      <c r="F36" s="1033"/>
      <c r="G36" s="494"/>
      <c r="H36" s="1032" t="s">
        <v>393</v>
      </c>
      <c r="I36" s="1033"/>
      <c r="J36" s="494">
        <v>855.48</v>
      </c>
      <c r="K36" s="495"/>
      <c r="L36" s="494"/>
      <c r="M36" s="496">
        <f>J36</f>
        <v>855.48</v>
      </c>
    </row>
    <row r="37" spans="1:13" ht="12.75">
      <c r="A37" s="491" t="s">
        <v>496</v>
      </c>
      <c r="B37" s="308" t="s">
        <v>431</v>
      </c>
      <c r="C37" s="492" t="s">
        <v>388</v>
      </c>
      <c r="D37" s="304">
        <v>1</v>
      </c>
      <c r="E37" s="1032" t="s">
        <v>404</v>
      </c>
      <c r="F37" s="1033"/>
      <c r="G37" s="494">
        <v>4.97</v>
      </c>
      <c r="H37" s="1032" t="s">
        <v>432</v>
      </c>
      <c r="I37" s="1033"/>
      <c r="J37" s="494">
        <v>3.92</v>
      </c>
      <c r="K37" s="495" t="s">
        <v>416</v>
      </c>
      <c r="L37" s="494">
        <v>5.81</v>
      </c>
      <c r="M37" s="496">
        <f t="shared" si="0"/>
        <v>4.8999999999999995</v>
      </c>
    </row>
    <row r="38" spans="1:13" ht="12.75">
      <c r="A38" s="491">
        <v>39</v>
      </c>
      <c r="B38" s="308" t="s">
        <v>433</v>
      </c>
      <c r="C38" s="492" t="s">
        <v>388</v>
      </c>
      <c r="D38" s="304">
        <v>1</v>
      </c>
      <c r="E38" s="1032" t="s">
        <v>434</v>
      </c>
      <c r="F38" s="1033"/>
      <c r="G38" s="494">
        <v>4.49</v>
      </c>
      <c r="H38" s="1032" t="s">
        <v>393</v>
      </c>
      <c r="I38" s="1033"/>
      <c r="J38" s="494">
        <v>5.46</v>
      </c>
      <c r="K38" s="495"/>
      <c r="L38" s="494"/>
      <c r="M38" s="496">
        <f>TRUNC((G38+J38+L38),2)/2</f>
        <v>4.975</v>
      </c>
    </row>
    <row r="39" spans="1:13" ht="12.75">
      <c r="A39" s="491">
        <v>40</v>
      </c>
      <c r="B39" s="308" t="s">
        <v>435</v>
      </c>
      <c r="C39" s="492" t="s">
        <v>388</v>
      </c>
      <c r="D39" s="304">
        <v>1</v>
      </c>
      <c r="E39" s="1032" t="s">
        <v>389</v>
      </c>
      <c r="F39" s="1033"/>
      <c r="G39" s="494">
        <v>19.01</v>
      </c>
      <c r="H39" s="1032" t="s">
        <v>393</v>
      </c>
      <c r="I39" s="1033"/>
      <c r="J39" s="494">
        <v>24.02</v>
      </c>
      <c r="K39" s="495"/>
      <c r="L39" s="494"/>
      <c r="M39" s="496">
        <f>TRUNC((G39+J39+L39),2)/2</f>
        <v>21.515</v>
      </c>
    </row>
    <row r="40" spans="1:13" ht="12.75">
      <c r="A40" s="628"/>
      <c r="B40" s="628" t="s">
        <v>506</v>
      </c>
      <c r="C40" s="631" t="s">
        <v>376</v>
      </c>
      <c r="D40" s="632">
        <v>1</v>
      </c>
      <c r="E40" s="1040" t="s">
        <v>396</v>
      </c>
      <c r="F40" s="1041"/>
      <c r="G40" s="633">
        <v>625</v>
      </c>
      <c r="H40" s="1040" t="s">
        <v>507</v>
      </c>
      <c r="I40" s="1041"/>
      <c r="J40" s="629">
        <v>796</v>
      </c>
      <c r="K40" s="630" t="s">
        <v>508</v>
      </c>
      <c r="L40" s="630">
        <v>680</v>
      </c>
      <c r="M40" s="496">
        <f>(G40+J40+L40)/3</f>
        <v>700.3333333333334</v>
      </c>
    </row>
    <row r="42" spans="3:4" ht="12.75">
      <c r="C42" s="1042" t="s">
        <v>571</v>
      </c>
      <c r="D42" s="1043"/>
    </row>
    <row r="43" spans="3:4" ht="12.75">
      <c r="C43" s="1042" t="s">
        <v>572</v>
      </c>
      <c r="D43" s="1046"/>
    </row>
    <row r="44" spans="3:4" ht="12.75">
      <c r="C44" s="127" t="s">
        <v>573</v>
      </c>
      <c r="D44" s="127"/>
    </row>
  </sheetData>
  <sheetProtection/>
  <mergeCells count="74">
    <mergeCell ref="E40:F40"/>
    <mergeCell ref="H40:I40"/>
    <mergeCell ref="E38:F38"/>
    <mergeCell ref="H38:I38"/>
    <mergeCell ref="E39:F39"/>
    <mergeCell ref="H39:I39"/>
    <mergeCell ref="E33:F33"/>
    <mergeCell ref="H33:I33"/>
    <mergeCell ref="E34:F34"/>
    <mergeCell ref="H34:I34"/>
    <mergeCell ref="E35:F35"/>
    <mergeCell ref="H35:I35"/>
    <mergeCell ref="E28:F28"/>
    <mergeCell ref="H28:I28"/>
    <mergeCell ref="E29:F29"/>
    <mergeCell ref="H29:I29"/>
    <mergeCell ref="E30:F30"/>
    <mergeCell ref="H30:I30"/>
    <mergeCell ref="A1:M7"/>
    <mergeCell ref="A8:A9"/>
    <mergeCell ref="B8:B9"/>
    <mergeCell ref="C8:C9"/>
    <mergeCell ref="D8:D9"/>
    <mergeCell ref="E8:F9"/>
    <mergeCell ref="G8:G9"/>
    <mergeCell ref="H8:I9"/>
    <mergeCell ref="J8:J9"/>
    <mergeCell ref="M8:M9"/>
    <mergeCell ref="E37:F37"/>
    <mergeCell ref="H37:I37"/>
    <mergeCell ref="E11:F11"/>
    <mergeCell ref="H11:I11"/>
    <mergeCell ref="E12:F12"/>
    <mergeCell ref="H12:I12"/>
    <mergeCell ref="E13:F13"/>
    <mergeCell ref="H13:I13"/>
    <mergeCell ref="E21:F21"/>
    <mergeCell ref="H21:I21"/>
    <mergeCell ref="E36:F36"/>
    <mergeCell ref="H36:I36"/>
    <mergeCell ref="E15:F15"/>
    <mergeCell ref="H15:I15"/>
    <mergeCell ref="E16:F16"/>
    <mergeCell ref="H16:I16"/>
    <mergeCell ref="E22:F22"/>
    <mergeCell ref="H22:I22"/>
    <mergeCell ref="E23:F23"/>
    <mergeCell ref="H23:I23"/>
    <mergeCell ref="E31:F31"/>
    <mergeCell ref="H31:I31"/>
    <mergeCell ref="E32:F32"/>
    <mergeCell ref="H32:I32"/>
    <mergeCell ref="E17:F17"/>
    <mergeCell ref="H17:I17"/>
    <mergeCell ref="E18:F18"/>
    <mergeCell ref="H18:I18"/>
    <mergeCell ref="E26:F26"/>
    <mergeCell ref="H26:I26"/>
    <mergeCell ref="E27:F27"/>
    <mergeCell ref="H27:I27"/>
    <mergeCell ref="E24:F24"/>
    <mergeCell ref="H24:I24"/>
    <mergeCell ref="E25:F25"/>
    <mergeCell ref="H25:I25"/>
    <mergeCell ref="E19:F19"/>
    <mergeCell ref="H19:I19"/>
    <mergeCell ref="E20:F20"/>
    <mergeCell ref="H20:I20"/>
    <mergeCell ref="K8:K9"/>
    <mergeCell ref="L8:L9"/>
    <mergeCell ref="E14:F14"/>
    <mergeCell ref="H14:I14"/>
    <mergeCell ref="E10:F10"/>
    <mergeCell ref="H10:I10"/>
  </mergeCells>
  <printOptions gridLines="1" horizontalCentered="1"/>
  <pageMargins left="0.7086614173228347" right="0.7086614173228347" top="1.7716535433070868" bottom="0.98425196850393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8515625" style="81" customWidth="1"/>
    <col min="2" max="2" width="9.140625" style="81" customWidth="1"/>
    <col min="3" max="3" width="25.140625" style="81" customWidth="1"/>
    <col min="4" max="4" width="8.00390625" style="81" customWidth="1"/>
    <col min="5" max="5" width="11.7109375" style="81" customWidth="1"/>
    <col min="6" max="7" width="12.421875" style="81" customWidth="1"/>
    <col min="8" max="16384" width="9.140625" style="81" customWidth="1"/>
  </cols>
  <sheetData>
    <row r="1" spans="1:7" ht="27.75" customHeight="1">
      <c r="A1" s="77" t="s">
        <v>279</v>
      </c>
      <c r="B1" s="78"/>
      <c r="C1" s="78"/>
      <c r="D1" s="79"/>
      <c r="E1" s="79"/>
      <c r="F1" s="79"/>
      <c r="G1" s="80"/>
    </row>
    <row r="2" spans="1:7" ht="17.25" customHeight="1">
      <c r="A2" s="82" t="s">
        <v>281</v>
      </c>
      <c r="B2" s="83"/>
      <c r="C2" s="83"/>
      <c r="D2" s="84"/>
      <c r="E2" s="84"/>
      <c r="F2" s="84"/>
      <c r="G2" s="85"/>
    </row>
    <row r="3" spans="1:7" ht="15" customHeight="1">
      <c r="A3" s="86" t="s">
        <v>286</v>
      </c>
      <c r="B3" s="83"/>
      <c r="C3" s="83"/>
      <c r="D3" s="84"/>
      <c r="E3" s="84"/>
      <c r="F3" s="84"/>
      <c r="G3" s="85"/>
    </row>
    <row r="4" spans="1:7" ht="15" customHeight="1">
      <c r="A4" s="86"/>
      <c r="B4" s="83"/>
      <c r="C4" s="83"/>
      <c r="D4" s="84"/>
      <c r="E4" s="84"/>
      <c r="F4" s="84"/>
      <c r="G4" s="85"/>
    </row>
    <row r="5" spans="1:7" ht="15.75" customHeight="1">
      <c r="A5" s="87"/>
      <c r="B5" s="84"/>
      <c r="C5" s="84"/>
      <c r="D5" s="84"/>
      <c r="E5" s="84"/>
      <c r="F5" s="84"/>
      <c r="G5" s="85"/>
    </row>
    <row r="6" spans="1:7" ht="18">
      <c r="A6" s="815" t="s">
        <v>90</v>
      </c>
      <c r="B6" s="816"/>
      <c r="C6" s="816"/>
      <c r="D6" s="816"/>
      <c r="E6" s="816"/>
      <c r="F6" s="195"/>
      <c r="G6" s="80"/>
    </row>
    <row r="7" spans="1:7" ht="18">
      <c r="A7" s="817"/>
      <c r="B7" s="818"/>
      <c r="C7" s="818"/>
      <c r="D7" s="818"/>
      <c r="E7" s="818"/>
      <c r="F7" s="196"/>
      <c r="G7" s="88"/>
    </row>
    <row r="8" spans="1:7" ht="14.25" customHeight="1">
      <c r="A8" s="89" t="s">
        <v>91</v>
      </c>
      <c r="B8" s="819" t="s">
        <v>16</v>
      </c>
      <c r="C8" s="819"/>
      <c r="D8" s="90" t="s">
        <v>92</v>
      </c>
      <c r="E8" s="90" t="s">
        <v>93</v>
      </c>
      <c r="F8" s="90" t="s">
        <v>187</v>
      </c>
      <c r="G8" s="194" t="s">
        <v>93</v>
      </c>
    </row>
    <row r="9" spans="1:7" ht="14.25" customHeight="1">
      <c r="A9" s="91"/>
      <c r="B9" s="820"/>
      <c r="C9" s="820"/>
      <c r="D9" s="92"/>
      <c r="E9" s="93" t="s">
        <v>94</v>
      </c>
      <c r="F9" s="197"/>
      <c r="G9" s="194" t="s">
        <v>82</v>
      </c>
    </row>
    <row r="10" spans="1:7" ht="14.25" customHeight="1">
      <c r="A10" s="91">
        <v>88241</v>
      </c>
      <c r="B10" s="813" t="s">
        <v>95</v>
      </c>
      <c r="C10" s="813"/>
      <c r="D10" s="95" t="s">
        <v>96</v>
      </c>
      <c r="E10" s="96">
        <v>15.99</v>
      </c>
      <c r="F10" s="96">
        <f>E10*F9</f>
        <v>0</v>
      </c>
      <c r="G10" s="97">
        <f>E10+F10</f>
        <v>15.99</v>
      </c>
    </row>
    <row r="11" spans="1:7" ht="14.25" customHeight="1">
      <c r="A11" s="91">
        <v>88247</v>
      </c>
      <c r="B11" s="94" t="s">
        <v>97</v>
      </c>
      <c r="C11" s="94"/>
      <c r="D11" s="95" t="s">
        <v>96</v>
      </c>
      <c r="E11" s="96">
        <v>16.3</v>
      </c>
      <c r="F11" s="96">
        <f>E11*F9</f>
        <v>0</v>
      </c>
      <c r="G11" s="97">
        <f>E11+F11</f>
        <v>16.3</v>
      </c>
    </row>
    <row r="12" spans="1:7" ht="15.75" customHeight="1">
      <c r="A12" s="91">
        <v>88264</v>
      </c>
      <c r="B12" s="813" t="s">
        <v>98</v>
      </c>
      <c r="C12" s="813"/>
      <c r="D12" s="95" t="s">
        <v>96</v>
      </c>
      <c r="E12" s="96">
        <v>21.05</v>
      </c>
      <c r="F12" s="96">
        <f>E12*F9</f>
        <v>0</v>
      </c>
      <c r="G12" s="97">
        <f>E12+F12</f>
        <v>21.05</v>
      </c>
    </row>
    <row r="13" spans="1:7" ht="18">
      <c r="A13" s="91">
        <v>91677</v>
      </c>
      <c r="B13" s="813" t="s">
        <v>188</v>
      </c>
      <c r="C13" s="813"/>
      <c r="D13" s="95" t="s">
        <v>96</v>
      </c>
      <c r="E13" s="98">
        <v>89.3</v>
      </c>
      <c r="F13" s="96">
        <f>E13*F9</f>
        <v>0</v>
      </c>
      <c r="G13" s="97">
        <f>E13+F13</f>
        <v>89.3</v>
      </c>
    </row>
    <row r="14" spans="1:7" ht="18">
      <c r="A14" s="91"/>
      <c r="B14" s="814" t="s">
        <v>82</v>
      </c>
      <c r="C14" s="814"/>
      <c r="D14" s="100"/>
      <c r="E14" s="98"/>
      <c r="F14" s="98"/>
      <c r="G14" s="99"/>
    </row>
  </sheetData>
  <sheetProtection/>
  <mergeCells count="7">
    <mergeCell ref="B13:C13"/>
    <mergeCell ref="B14:C14"/>
    <mergeCell ref="B12:C12"/>
    <mergeCell ref="A6:E7"/>
    <mergeCell ref="B8:C8"/>
    <mergeCell ref="B9:C9"/>
    <mergeCell ref="B10:C10"/>
  </mergeCells>
  <printOptions gridLines="1"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1">
      <selection activeCell="J11" sqref="J11"/>
    </sheetView>
  </sheetViews>
  <sheetFormatPr defaultColWidth="9.140625" defaultRowHeight="12.75"/>
  <cols>
    <col min="1" max="1" width="15.140625" style="103" customWidth="1"/>
    <col min="2" max="2" width="13.7109375" style="103" customWidth="1"/>
    <col min="3" max="3" width="11.00390625" style="103" customWidth="1"/>
    <col min="4" max="4" width="9.140625" style="103" customWidth="1"/>
    <col min="5" max="5" width="9.7109375" style="103" customWidth="1"/>
    <col min="6" max="6" width="9.57421875" style="103" customWidth="1"/>
    <col min="7" max="7" width="12.140625" style="103" customWidth="1"/>
    <col min="8" max="8" width="10.140625" style="103" customWidth="1"/>
    <col min="9" max="9" width="9.140625" style="103" customWidth="1"/>
    <col min="10" max="10" width="9.28125" style="103" bestFit="1" customWidth="1"/>
    <col min="11" max="16384" width="9.140625" style="103" customWidth="1"/>
  </cols>
  <sheetData>
    <row r="1" spans="1:7" ht="12.75">
      <c r="A1" s="101"/>
      <c r="B1" s="102"/>
      <c r="C1" s="102"/>
      <c r="D1" s="102"/>
      <c r="E1" s="102"/>
      <c r="F1" s="102"/>
      <c r="G1" s="106" t="s">
        <v>185</v>
      </c>
    </row>
    <row r="2" spans="1:7" ht="15">
      <c r="A2" s="77" t="s">
        <v>280</v>
      </c>
      <c r="B2" s="104"/>
      <c r="C2" s="104"/>
      <c r="D2" s="105"/>
      <c r="E2" s="105"/>
      <c r="F2" s="105"/>
      <c r="G2" s="106"/>
    </row>
    <row r="3" spans="1:7" ht="15">
      <c r="A3" s="82" t="s">
        <v>281</v>
      </c>
      <c r="B3" s="107"/>
      <c r="C3" s="107"/>
      <c r="D3" s="105"/>
      <c r="E3" s="105"/>
      <c r="F3" s="105"/>
      <c r="G3" s="106"/>
    </row>
    <row r="4" spans="1:7" ht="15">
      <c r="A4" s="82"/>
      <c r="B4" s="107"/>
      <c r="C4" s="107"/>
      <c r="D4" s="105"/>
      <c r="E4" s="105"/>
      <c r="F4" s="105"/>
      <c r="G4" s="106"/>
    </row>
    <row r="5" spans="1:7" ht="12.75">
      <c r="A5" s="167" t="s">
        <v>288</v>
      </c>
      <c r="B5" s="108"/>
      <c r="C5" s="108"/>
      <c r="D5" s="108"/>
      <c r="E5" s="108"/>
      <c r="F5" s="108"/>
      <c r="G5" s="109"/>
    </row>
    <row r="6" spans="1:8" ht="12.75">
      <c r="A6" s="110" t="s">
        <v>99</v>
      </c>
      <c r="B6" s="108"/>
      <c r="C6" s="108"/>
      <c r="D6" s="108"/>
      <c r="E6" s="108"/>
      <c r="F6" s="108"/>
      <c r="G6" s="109"/>
      <c r="H6" s="111"/>
    </row>
    <row r="7" spans="1:8" ht="12.75">
      <c r="A7" s="112" t="s">
        <v>100</v>
      </c>
      <c r="B7" s="113"/>
      <c r="C7" s="113"/>
      <c r="D7" s="114"/>
      <c r="E7" s="114"/>
      <c r="F7" s="114"/>
      <c r="G7" s="115" t="s">
        <v>18</v>
      </c>
      <c r="H7" s="111"/>
    </row>
    <row r="8" spans="1:8" ht="12.75">
      <c r="A8" s="111" t="s">
        <v>275</v>
      </c>
      <c r="B8" s="111"/>
      <c r="C8" s="111"/>
      <c r="D8" s="111"/>
      <c r="E8" s="111"/>
      <c r="F8" s="111"/>
      <c r="G8" s="116">
        <v>20</v>
      </c>
      <c r="H8" s="111"/>
    </row>
    <row r="9" spans="1:8" ht="12.75">
      <c r="A9" s="111" t="s">
        <v>274</v>
      </c>
      <c r="B9" s="111"/>
      <c r="C9" s="111"/>
      <c r="D9" s="111"/>
      <c r="E9" s="111"/>
      <c r="F9" s="111"/>
      <c r="G9" s="116">
        <v>1.5</v>
      </c>
      <c r="H9" s="111"/>
    </row>
    <row r="10" spans="1:8" ht="12.75">
      <c r="A10" s="111" t="s">
        <v>101</v>
      </c>
      <c r="B10" s="111"/>
      <c r="C10" s="111"/>
      <c r="D10" s="111"/>
      <c r="E10" s="111"/>
      <c r="F10" s="111"/>
      <c r="G10" s="116">
        <v>1</v>
      </c>
      <c r="H10" s="111"/>
    </row>
    <row r="11" spans="1:8" ht="12.75">
      <c r="A11" s="111" t="s">
        <v>103</v>
      </c>
      <c r="B11" s="111"/>
      <c r="C11" s="111"/>
      <c r="D11" s="111"/>
      <c r="E11" s="111"/>
      <c r="F11" s="111"/>
      <c r="G11" s="116">
        <v>0.2</v>
      </c>
      <c r="H11" s="111"/>
    </row>
    <row r="12" spans="1:8" ht="12.75">
      <c r="A12" s="111" t="s">
        <v>102</v>
      </c>
      <c r="B12" s="111"/>
      <c r="C12" s="111"/>
      <c r="D12" s="111"/>
      <c r="E12" s="111"/>
      <c r="F12" s="111"/>
      <c r="G12" s="116">
        <v>0.6</v>
      </c>
      <c r="H12" s="111"/>
    </row>
    <row r="13" spans="1:8" ht="12.75">
      <c r="A13" s="111" t="s">
        <v>276</v>
      </c>
      <c r="B13" s="111"/>
      <c r="C13" s="111"/>
      <c r="D13" s="111"/>
      <c r="E13" s="111"/>
      <c r="F13" s="111"/>
      <c r="G13" s="116">
        <v>2.5</v>
      </c>
      <c r="H13" s="111"/>
    </row>
    <row r="14" spans="1:9" ht="12.75">
      <c r="A14" s="111" t="s">
        <v>287</v>
      </c>
      <c r="B14" s="111"/>
      <c r="C14" s="111"/>
      <c r="D14" s="111"/>
      <c r="E14" s="111"/>
      <c r="F14" s="111"/>
      <c r="G14" s="116">
        <v>3</v>
      </c>
      <c r="H14" s="111"/>
      <c r="I14" s="117"/>
    </row>
    <row r="15" spans="1:9" ht="12.75">
      <c r="A15" s="111" t="s">
        <v>277</v>
      </c>
      <c r="B15" s="111"/>
      <c r="C15" s="111"/>
      <c r="D15" s="111"/>
      <c r="E15" s="111"/>
      <c r="F15" s="111"/>
      <c r="G15" s="116">
        <v>8</v>
      </c>
      <c r="H15" s="111"/>
      <c r="I15" s="117"/>
    </row>
    <row r="16" spans="1:9" ht="12.75">
      <c r="A16" s="111" t="s">
        <v>278</v>
      </c>
      <c r="B16" s="111"/>
      <c r="C16" s="111"/>
      <c r="D16" s="111"/>
      <c r="E16" s="111"/>
      <c r="F16" s="111"/>
      <c r="G16" s="433">
        <v>0</v>
      </c>
      <c r="H16" s="111"/>
      <c r="I16" s="117"/>
    </row>
    <row r="17" spans="1:8" ht="12.75">
      <c r="A17" s="118"/>
      <c r="B17" s="120" t="s">
        <v>104</v>
      </c>
      <c r="C17" s="120"/>
      <c r="D17" s="120"/>
      <c r="E17" s="120" t="s">
        <v>105</v>
      </c>
      <c r="F17" s="120"/>
      <c r="G17" s="168">
        <f>SUM(G8:G16)</f>
        <v>36.8</v>
      </c>
      <c r="H17" s="111"/>
    </row>
    <row r="18" spans="1:8" ht="12.75">
      <c r="A18" s="122" t="s">
        <v>106</v>
      </c>
      <c r="B18" s="122"/>
      <c r="C18" s="122"/>
      <c r="D18" s="122"/>
      <c r="E18" s="122"/>
      <c r="F18" s="122"/>
      <c r="G18" s="123"/>
      <c r="H18" s="111"/>
    </row>
    <row r="19" spans="1:8" ht="12.75">
      <c r="A19" s="124" t="s">
        <v>160</v>
      </c>
      <c r="B19" s="122"/>
      <c r="C19" s="122"/>
      <c r="D19" s="122"/>
      <c r="E19" s="122"/>
      <c r="F19" s="122"/>
      <c r="G19" s="111">
        <v>17.78</v>
      </c>
      <c r="H19" s="111"/>
    </row>
    <row r="20" spans="1:8" ht="12.75">
      <c r="A20" s="111" t="s">
        <v>108</v>
      </c>
      <c r="B20" s="111"/>
      <c r="C20" s="111"/>
      <c r="D20" s="111"/>
      <c r="E20" s="111"/>
      <c r="F20" s="111"/>
      <c r="G20" s="111">
        <v>3.67</v>
      </c>
      <c r="H20" s="111"/>
    </row>
    <row r="21" spans="1:8" ht="12.75">
      <c r="A21" s="111" t="s">
        <v>110</v>
      </c>
      <c r="B21" s="111"/>
      <c r="C21" s="111"/>
      <c r="D21" s="111"/>
      <c r="E21" s="111"/>
      <c r="F21" s="111"/>
      <c r="G21" s="111">
        <v>0.93</v>
      </c>
      <c r="H21" s="111"/>
    </row>
    <row r="22" spans="1:8" ht="12.75">
      <c r="A22" s="111" t="s">
        <v>111</v>
      </c>
      <c r="B22" s="111"/>
      <c r="C22" s="111"/>
      <c r="D22" s="111"/>
      <c r="E22" s="111"/>
      <c r="F22" s="111"/>
      <c r="G22" s="125">
        <v>10.9</v>
      </c>
      <c r="H22" s="111"/>
    </row>
    <row r="23" spans="1:8" ht="12.75">
      <c r="A23" s="111" t="s">
        <v>109</v>
      </c>
      <c r="B23" s="111"/>
      <c r="C23" s="111"/>
      <c r="D23" s="111"/>
      <c r="E23" s="111"/>
      <c r="F23" s="111"/>
      <c r="G23" s="169">
        <v>0.07</v>
      </c>
      <c r="H23" s="111"/>
    </row>
    <row r="24" spans="1:8" ht="12.75">
      <c r="A24" s="111" t="s">
        <v>161</v>
      </c>
      <c r="B24" s="111"/>
      <c r="C24" s="111"/>
      <c r="D24" s="111"/>
      <c r="E24" s="111"/>
      <c r="F24" s="111"/>
      <c r="G24" s="170">
        <v>0.73</v>
      </c>
      <c r="H24" s="111"/>
    </row>
    <row r="25" spans="1:8" ht="12.75">
      <c r="A25" s="111" t="s">
        <v>162</v>
      </c>
      <c r="B25" s="111"/>
      <c r="C25" s="111"/>
      <c r="D25" s="111"/>
      <c r="E25" s="111"/>
      <c r="F25" s="111"/>
      <c r="G25" s="125">
        <v>1.15</v>
      </c>
      <c r="H25" s="111"/>
    </row>
    <row r="26" spans="1:8" ht="12.75">
      <c r="A26" s="111" t="s">
        <v>163</v>
      </c>
      <c r="B26" s="111"/>
      <c r="C26" s="111"/>
      <c r="D26" s="111"/>
      <c r="E26" s="111"/>
      <c r="F26" s="111"/>
      <c r="G26" s="125">
        <v>0.11</v>
      </c>
      <c r="H26" s="111"/>
    </row>
    <row r="27" spans="1:8" ht="12.75">
      <c r="A27" s="111" t="s">
        <v>164</v>
      </c>
      <c r="B27" s="111"/>
      <c r="C27" s="111"/>
      <c r="D27" s="111"/>
      <c r="E27" s="111"/>
      <c r="F27" s="111"/>
      <c r="G27" s="170">
        <v>11.03</v>
      </c>
      <c r="H27" s="111"/>
    </row>
    <row r="28" spans="1:8" ht="12.75">
      <c r="A28" s="111" t="s">
        <v>165</v>
      </c>
      <c r="B28" s="111"/>
      <c r="C28" s="111"/>
      <c r="D28" s="111"/>
      <c r="E28" s="111"/>
      <c r="F28" s="111"/>
      <c r="G28" s="125">
        <v>0.03</v>
      </c>
      <c r="H28" s="111"/>
    </row>
    <row r="29" spans="1:8" ht="12.75">
      <c r="A29" s="111"/>
      <c r="B29" s="111"/>
      <c r="C29" s="111"/>
      <c r="D29" s="111"/>
      <c r="E29" s="111"/>
      <c r="F29" s="111"/>
      <c r="G29" s="170"/>
      <c r="H29" s="111"/>
    </row>
    <row r="30" spans="1:8" ht="12.75">
      <c r="A30" s="118"/>
      <c r="B30" s="120" t="s">
        <v>107</v>
      </c>
      <c r="C30" s="119"/>
      <c r="D30" s="119"/>
      <c r="E30" s="119"/>
      <c r="F30" s="119"/>
      <c r="G30" s="171">
        <f>G28+G27+G26+G25+G24+G23+G22+G21+G20+G19</f>
        <v>46.4</v>
      </c>
      <c r="H30" s="111"/>
    </row>
    <row r="31" spans="1:8" ht="12.75">
      <c r="A31" s="122" t="s">
        <v>166</v>
      </c>
      <c r="B31" s="123"/>
      <c r="C31" s="111"/>
      <c r="D31" s="111"/>
      <c r="E31" s="111"/>
      <c r="F31" s="111"/>
      <c r="G31" s="172"/>
      <c r="H31" s="111"/>
    </row>
    <row r="32" spans="1:8" ht="12.75">
      <c r="A32" s="111" t="s">
        <v>167</v>
      </c>
      <c r="B32" s="111"/>
      <c r="C32" s="111"/>
      <c r="D32" s="111"/>
      <c r="E32" s="111"/>
      <c r="F32" s="111"/>
      <c r="G32" s="170">
        <v>6.52</v>
      </c>
      <c r="H32" s="111"/>
    </row>
    <row r="33" spans="1:8" ht="12.75">
      <c r="A33" s="111" t="s">
        <v>168</v>
      </c>
      <c r="B33" s="111"/>
      <c r="C33" s="111"/>
      <c r="D33" s="111"/>
      <c r="E33" s="111"/>
      <c r="F33" s="111"/>
      <c r="G33" s="170">
        <v>0.15</v>
      </c>
      <c r="H33" s="111"/>
    </row>
    <row r="34" spans="1:8" ht="12.75">
      <c r="A34" s="111" t="s">
        <v>169</v>
      </c>
      <c r="B34" s="111"/>
      <c r="C34" s="111"/>
      <c r="D34" s="111"/>
      <c r="E34" s="111"/>
      <c r="F34" s="111"/>
      <c r="G34" s="170">
        <v>2.93</v>
      </c>
      <c r="H34" s="111"/>
    </row>
    <row r="35" spans="1:8" ht="12.75">
      <c r="A35" s="111" t="s">
        <v>170</v>
      </c>
      <c r="B35" s="111"/>
      <c r="C35" s="111"/>
      <c r="D35" s="111"/>
      <c r="E35" s="111"/>
      <c r="F35" s="111"/>
      <c r="G35" s="170">
        <v>4.69</v>
      </c>
      <c r="H35" s="111"/>
    </row>
    <row r="36" spans="1:8" ht="12.75">
      <c r="A36" s="111" t="s">
        <v>171</v>
      </c>
      <c r="B36" s="111"/>
      <c r="C36" s="111"/>
      <c r="D36" s="111"/>
      <c r="E36" s="111"/>
      <c r="F36" s="111"/>
      <c r="G36" s="170">
        <v>0.55</v>
      </c>
      <c r="H36" s="111"/>
    </row>
    <row r="37" spans="1:8" ht="13.5" customHeight="1">
      <c r="A37" s="118"/>
      <c r="B37" s="120" t="s">
        <v>112</v>
      </c>
      <c r="C37" s="120"/>
      <c r="D37" s="120"/>
      <c r="E37" s="120" t="s">
        <v>105</v>
      </c>
      <c r="F37" s="120"/>
      <c r="G37" s="121">
        <f>SUM(G32:G36)</f>
        <v>14.84</v>
      </c>
      <c r="H37" s="111"/>
    </row>
    <row r="38" spans="1:8" ht="13.5" customHeight="1">
      <c r="A38" s="122" t="s">
        <v>172</v>
      </c>
      <c r="B38" s="111"/>
      <c r="C38" s="123"/>
      <c r="D38" s="123"/>
      <c r="E38" s="123"/>
      <c r="F38" s="123"/>
      <c r="G38" s="173"/>
      <c r="H38" s="111"/>
    </row>
    <row r="39" spans="1:8" ht="12.75">
      <c r="A39" s="111" t="s">
        <v>113</v>
      </c>
      <c r="B39" s="111"/>
      <c r="C39" s="123"/>
      <c r="D39" s="123"/>
      <c r="E39" s="123"/>
      <c r="F39" s="123"/>
      <c r="G39" s="116">
        <v>17.08</v>
      </c>
      <c r="H39" s="111"/>
    </row>
    <row r="40" spans="1:8" ht="20.25" customHeight="1">
      <c r="A40" s="174" t="s">
        <v>173</v>
      </c>
      <c r="B40" s="175"/>
      <c r="C40" s="175"/>
      <c r="D40" s="175"/>
      <c r="E40" s="175"/>
      <c r="F40" s="175"/>
      <c r="G40" s="176">
        <v>0.58</v>
      </c>
      <c r="H40" s="111"/>
    </row>
    <row r="41" spans="1:8" ht="12.75">
      <c r="A41" s="177"/>
      <c r="B41" s="177"/>
      <c r="C41" s="177"/>
      <c r="D41" s="177"/>
      <c r="E41" s="177"/>
      <c r="F41" s="177"/>
      <c r="G41" s="177"/>
      <c r="H41" s="111"/>
    </row>
    <row r="42" spans="1:8" ht="14.25" customHeight="1">
      <c r="A42" s="178"/>
      <c r="B42" s="179" t="s">
        <v>174</v>
      </c>
      <c r="C42" s="119"/>
      <c r="D42" s="119"/>
      <c r="E42" s="119"/>
      <c r="F42" s="119"/>
      <c r="G42" s="126">
        <f>SUM(G39:G40)</f>
        <v>17.659999999999997</v>
      </c>
      <c r="H42" s="111"/>
    </row>
    <row r="43" ht="16.5" customHeight="1">
      <c r="A43" s="122" t="s">
        <v>175</v>
      </c>
    </row>
    <row r="44" spans="1:7" ht="12.75">
      <c r="A44" s="180"/>
      <c r="B44" s="181" t="s">
        <v>176</v>
      </c>
      <c r="C44" s="182"/>
      <c r="D44" s="182"/>
      <c r="E44" s="182"/>
      <c r="F44" s="182"/>
      <c r="G44" s="183">
        <v>0</v>
      </c>
    </row>
    <row r="45" spans="1:7" ht="18.75" customHeight="1">
      <c r="A45" s="184" t="s">
        <v>177</v>
      </c>
      <c r="B45" s="185"/>
      <c r="C45" s="185"/>
      <c r="D45" s="185"/>
      <c r="E45" s="185"/>
      <c r="F45" s="185"/>
      <c r="G45" s="186">
        <f>G44+G42+G37+G30+G17</f>
        <v>115.7</v>
      </c>
    </row>
  </sheetData>
  <sheetProtection/>
  <printOptions gridLines="1"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120" zoomScaleNormal="120" zoomScaleSheetLayoutView="120" zoomScalePageLayoutView="0" workbookViewId="0" topLeftCell="A38">
      <selection activeCell="K66" sqref="K66"/>
    </sheetView>
  </sheetViews>
  <sheetFormatPr defaultColWidth="8.8515625" defaultRowHeight="12.75"/>
  <cols>
    <col min="1" max="1" width="4.57421875" style="132" customWidth="1"/>
    <col min="2" max="2" width="7.28125" style="132" customWidth="1"/>
    <col min="3" max="3" width="11.140625" style="204" customWidth="1"/>
    <col min="4" max="4" width="15.57421875" style="204" customWidth="1"/>
    <col min="5" max="5" width="13.140625" style="204" customWidth="1"/>
    <col min="6" max="6" width="10.28125" style="204" customWidth="1"/>
    <col min="7" max="7" width="11.8515625" style="204" customWidth="1"/>
    <col min="8" max="8" width="12.28125" style="204" customWidth="1"/>
    <col min="9" max="9" width="9.00390625" style="204" customWidth="1"/>
    <col min="10" max="10" width="0.5625" style="204" hidden="1" customWidth="1"/>
    <col min="11" max="11" width="8.8515625" style="204" customWidth="1"/>
    <col min="12" max="12" width="14.57421875" style="226" customWidth="1"/>
    <col min="13" max="13" width="0.9921875" style="204" hidden="1" customWidth="1"/>
    <col min="14" max="14" width="11.00390625" style="204" customWidth="1"/>
    <col min="15" max="16384" width="8.8515625" style="204" customWidth="1"/>
  </cols>
  <sheetData>
    <row r="1" spans="1:12" ht="42" customHeight="1">
      <c r="A1" s="884" t="s">
        <v>189</v>
      </c>
      <c r="B1" s="884"/>
      <c r="C1" s="885"/>
      <c r="D1" s="885"/>
      <c r="E1" s="885"/>
      <c r="F1" s="886"/>
      <c r="G1" s="886"/>
      <c r="H1" s="886"/>
      <c r="I1" s="886"/>
      <c r="J1" s="886"/>
      <c r="K1" s="886"/>
      <c r="L1" s="886"/>
    </row>
    <row r="2" spans="1:13" ht="12.75">
      <c r="A2" s="864" t="s">
        <v>119</v>
      </c>
      <c r="B2" s="864"/>
      <c r="C2" s="865"/>
      <c r="D2" s="887" t="s">
        <v>271</v>
      </c>
      <c r="E2" s="888"/>
      <c r="F2" s="876" t="s">
        <v>32</v>
      </c>
      <c r="G2" s="877"/>
      <c r="H2" s="877"/>
      <c r="I2" s="889"/>
      <c r="J2" s="890"/>
      <c r="K2" s="890"/>
      <c r="L2" s="891"/>
      <c r="M2" s="206"/>
    </row>
    <row r="3" spans="1:13" ht="12.75">
      <c r="A3" s="864"/>
      <c r="B3" s="864"/>
      <c r="C3" s="865"/>
      <c r="D3" s="852"/>
      <c r="E3" s="875"/>
      <c r="F3" s="876" t="s">
        <v>76</v>
      </c>
      <c r="G3" s="877"/>
      <c r="H3" s="877"/>
      <c r="I3" s="877"/>
      <c r="J3" s="877"/>
      <c r="K3" s="877"/>
      <c r="L3" s="878"/>
      <c r="M3" s="206"/>
    </row>
    <row r="4" spans="1:13" ht="6" customHeight="1">
      <c r="A4" s="864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5"/>
    </row>
    <row r="5" spans="1:13" ht="9.75" customHeight="1">
      <c r="A5" s="864"/>
      <c r="B5" s="864"/>
      <c r="C5" s="865"/>
      <c r="D5" s="207" t="s">
        <v>289</v>
      </c>
      <c r="E5" s="128" t="s">
        <v>2</v>
      </c>
      <c r="F5" s="207"/>
      <c r="G5" s="436"/>
      <c r="H5" s="128" t="s">
        <v>4</v>
      </c>
      <c r="I5" s="852" t="s">
        <v>272</v>
      </c>
      <c r="J5" s="874"/>
      <c r="K5" s="874"/>
      <c r="L5" s="875"/>
      <c r="M5" s="206"/>
    </row>
    <row r="6" spans="1:13" ht="21" customHeight="1">
      <c r="A6" s="879"/>
      <c r="B6" s="879"/>
      <c r="C6" s="880"/>
      <c r="D6" s="881" t="s">
        <v>273</v>
      </c>
      <c r="E6" s="882"/>
      <c r="F6" s="882"/>
      <c r="G6" s="882"/>
      <c r="H6" s="882"/>
      <c r="I6" s="882"/>
      <c r="J6" s="882"/>
      <c r="K6" s="882"/>
      <c r="L6" s="883"/>
      <c r="M6" s="206"/>
    </row>
    <row r="7" spans="1:13" ht="3.75" customHeight="1">
      <c r="A7" s="864"/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5"/>
    </row>
    <row r="8" spans="1:13" ht="10.5" customHeight="1">
      <c r="A8" s="852" t="s">
        <v>78</v>
      </c>
      <c r="B8" s="853"/>
      <c r="C8" s="866"/>
      <c r="D8" s="866"/>
      <c r="E8" s="866"/>
      <c r="F8" s="866"/>
      <c r="G8" s="866"/>
      <c r="H8" s="866"/>
      <c r="I8" s="866"/>
      <c r="J8" s="866"/>
      <c r="K8" s="866"/>
      <c r="L8" s="867"/>
      <c r="M8" s="205"/>
    </row>
    <row r="9" spans="1:13" ht="27">
      <c r="A9" s="130" t="s">
        <v>56</v>
      </c>
      <c r="B9" s="130" t="s">
        <v>290</v>
      </c>
      <c r="C9" s="856" t="s">
        <v>178</v>
      </c>
      <c r="D9" s="856"/>
      <c r="E9" s="130" t="s">
        <v>11</v>
      </c>
      <c r="F9" s="130" t="s">
        <v>17</v>
      </c>
      <c r="G9" s="445" t="s">
        <v>291</v>
      </c>
      <c r="H9" s="130" t="s">
        <v>13</v>
      </c>
      <c r="I9" s="130" t="s">
        <v>14</v>
      </c>
      <c r="J9" s="856" t="s">
        <v>12</v>
      </c>
      <c r="K9" s="856"/>
      <c r="L9" s="130" t="s">
        <v>67</v>
      </c>
      <c r="M9" s="206"/>
    </row>
    <row r="10" spans="1:17" ht="11.25" customHeight="1">
      <c r="A10" s="208">
        <v>1</v>
      </c>
      <c r="B10" s="435">
        <v>88264</v>
      </c>
      <c r="C10" s="209" t="s">
        <v>295</v>
      </c>
      <c r="D10" s="210"/>
      <c r="E10" s="211">
        <v>3368</v>
      </c>
      <c r="F10" s="212">
        <v>0.3</v>
      </c>
      <c r="G10" s="449">
        <f>E10+E10*30%</f>
        <v>4378.4</v>
      </c>
      <c r="H10" s="213">
        <v>0</v>
      </c>
      <c r="I10" s="213">
        <v>0</v>
      </c>
      <c r="J10" s="868">
        <v>0</v>
      </c>
      <c r="K10" s="868"/>
      <c r="L10" s="214">
        <f>TRUNC(IF(E10=0,0,(A10*E10)+E10*F10+H10+E10/220*I10+J10),2)</f>
        <v>4378.4</v>
      </c>
      <c r="M10" s="206"/>
      <c r="O10" s="204">
        <v>89.3</v>
      </c>
      <c r="Q10" s="204">
        <v>4</v>
      </c>
    </row>
    <row r="11" spans="1:15" ht="11.25" customHeight="1">
      <c r="A11" s="215">
        <v>1</v>
      </c>
      <c r="B11" s="435">
        <v>88247</v>
      </c>
      <c r="C11" s="202" t="s">
        <v>296</v>
      </c>
      <c r="D11" s="203"/>
      <c r="E11" s="216">
        <v>2608</v>
      </c>
      <c r="F11" s="217">
        <v>0.3</v>
      </c>
      <c r="G11" s="450">
        <f>E11+E11*30%</f>
        <v>3390.4</v>
      </c>
      <c r="H11" s="218">
        <v>0</v>
      </c>
      <c r="I11" s="218">
        <v>0</v>
      </c>
      <c r="J11" s="861">
        <v>0</v>
      </c>
      <c r="K11" s="861"/>
      <c r="L11" s="214">
        <f>TRUNC(IF(E11=0,0,(A11*(E11+E11*F11))+H11+E11/220*I11+J11),2)</f>
        <v>3390.4</v>
      </c>
      <c r="M11" s="206"/>
      <c r="O11" s="204">
        <v>8</v>
      </c>
    </row>
    <row r="12" spans="1:16" ht="11.25" customHeight="1">
      <c r="A12" s="215">
        <v>1</v>
      </c>
      <c r="B12" s="435">
        <v>91677</v>
      </c>
      <c r="C12" s="872" t="s">
        <v>292</v>
      </c>
      <c r="D12" s="872"/>
      <c r="E12" s="216">
        <v>2857.5</v>
      </c>
      <c r="F12" s="217">
        <v>0.3</v>
      </c>
      <c r="G12" s="450">
        <f>E12+E12*F12</f>
        <v>3714.75</v>
      </c>
      <c r="H12" s="218">
        <v>0</v>
      </c>
      <c r="I12" s="218">
        <v>0</v>
      </c>
      <c r="J12" s="861">
        <v>0</v>
      </c>
      <c r="K12" s="861"/>
      <c r="L12" s="214">
        <f>TRUNC(IF(E12=0,0,(A12*(E12+E12*F12))+H12+E12/220*I12+J12),2)</f>
        <v>3714.75</v>
      </c>
      <c r="M12" s="206"/>
      <c r="O12" s="204">
        <v>4</v>
      </c>
      <c r="P12" s="204">
        <f>P11*Q10</f>
        <v>0</v>
      </c>
    </row>
    <row r="13" spans="1:15" ht="11.25" customHeight="1">
      <c r="A13" s="219"/>
      <c r="B13" s="219"/>
      <c r="C13" s="873"/>
      <c r="D13" s="873"/>
      <c r="E13" s="216"/>
      <c r="F13" s="217"/>
      <c r="G13" s="217"/>
      <c r="H13" s="218"/>
      <c r="I13" s="218"/>
      <c r="J13" s="861"/>
      <c r="K13" s="861"/>
      <c r="L13" s="220"/>
      <c r="M13" s="206"/>
      <c r="O13" s="446">
        <f>O10*O11*O12</f>
        <v>2857.6</v>
      </c>
    </row>
    <row r="14" spans="1:13" ht="11.25">
      <c r="A14" s="221">
        <f>SUM(A10:A13)</f>
        <v>3</v>
      </c>
      <c r="B14" s="221"/>
      <c r="C14" s="862" t="s">
        <v>31</v>
      </c>
      <c r="D14" s="862"/>
      <c r="E14" s="222"/>
      <c r="F14" s="223"/>
      <c r="G14" s="223"/>
      <c r="H14" s="223"/>
      <c r="I14" s="223"/>
      <c r="J14" s="863"/>
      <c r="K14" s="863"/>
      <c r="L14" s="224"/>
      <c r="M14" s="206"/>
    </row>
    <row r="15" spans="1:13" ht="10.5" customHeight="1">
      <c r="A15" s="860" t="s">
        <v>26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225">
        <f>TRUNC(SUM(L10:L13),2)</f>
        <v>11483.55</v>
      </c>
      <c r="M15" s="206"/>
    </row>
    <row r="16" spans="1:13" ht="10.5" customHeight="1">
      <c r="A16" s="852" t="s">
        <v>34</v>
      </c>
      <c r="B16" s="853"/>
      <c r="C16" s="853"/>
      <c r="D16" s="853"/>
      <c r="E16" s="853"/>
      <c r="F16" s="853"/>
      <c r="G16" s="853"/>
      <c r="H16" s="853"/>
      <c r="I16" s="853"/>
      <c r="J16" s="853"/>
      <c r="K16" s="853"/>
      <c r="L16" s="854"/>
      <c r="M16" s="206"/>
    </row>
    <row r="17" spans="3:13" ht="3" customHeight="1">
      <c r="C17" s="133"/>
      <c r="D17" s="133"/>
      <c r="E17" s="133"/>
      <c r="F17" s="133"/>
      <c r="G17" s="133"/>
      <c r="H17" s="133"/>
      <c r="I17" s="133"/>
      <c r="J17" s="133"/>
      <c r="K17" s="133"/>
      <c r="M17" s="206"/>
    </row>
    <row r="18" spans="1:13" ht="11.25" customHeight="1">
      <c r="A18" s="858" t="s">
        <v>5</v>
      </c>
      <c r="B18" s="858"/>
      <c r="C18" s="858"/>
      <c r="D18" s="858"/>
      <c r="E18" s="858"/>
      <c r="F18" s="134" t="s">
        <v>18</v>
      </c>
      <c r="G18" s="134"/>
      <c r="H18" s="849"/>
      <c r="I18" s="849"/>
      <c r="J18" s="849"/>
      <c r="K18" s="849"/>
      <c r="L18" s="849"/>
      <c r="M18" s="206"/>
    </row>
    <row r="19" spans="1:13" ht="12" customHeight="1">
      <c r="A19" s="859" t="s">
        <v>52</v>
      </c>
      <c r="B19" s="859"/>
      <c r="C19" s="859"/>
      <c r="D19" s="859"/>
      <c r="E19" s="859"/>
      <c r="F19" s="227"/>
      <c r="G19" s="437"/>
      <c r="H19" s="838" t="s">
        <v>15</v>
      </c>
      <c r="I19" s="838"/>
      <c r="J19" s="838"/>
      <c r="K19" s="838"/>
      <c r="L19" s="229">
        <f>F19*$L$15</f>
        <v>0</v>
      </c>
      <c r="M19" s="206"/>
    </row>
    <row r="20" spans="1:13" ht="9.75" customHeight="1">
      <c r="A20" s="858" t="s">
        <v>6</v>
      </c>
      <c r="B20" s="858"/>
      <c r="C20" s="858"/>
      <c r="D20" s="858"/>
      <c r="E20" s="858"/>
      <c r="F20" s="154"/>
      <c r="G20" s="154"/>
      <c r="H20" s="849"/>
      <c r="I20" s="849"/>
      <c r="J20" s="849"/>
      <c r="K20" s="849"/>
      <c r="L20" s="849"/>
      <c r="M20" s="206"/>
    </row>
    <row r="21" spans="1:13" ht="12" customHeight="1">
      <c r="A21" s="859" t="s">
        <v>53</v>
      </c>
      <c r="B21" s="859"/>
      <c r="C21" s="859"/>
      <c r="D21" s="859"/>
      <c r="E21" s="859"/>
      <c r="F21" s="227"/>
      <c r="G21" s="437"/>
      <c r="H21" s="838" t="s">
        <v>15</v>
      </c>
      <c r="I21" s="838"/>
      <c r="J21" s="838"/>
      <c r="K21" s="838"/>
      <c r="L21" s="229">
        <f>F21*$L$15</f>
        <v>0</v>
      </c>
      <c r="M21" s="206"/>
    </row>
    <row r="22" spans="1:13" ht="9.75" customHeight="1">
      <c r="A22" s="858" t="s">
        <v>7</v>
      </c>
      <c r="B22" s="858"/>
      <c r="C22" s="858"/>
      <c r="D22" s="858"/>
      <c r="E22" s="858"/>
      <c r="F22" s="134"/>
      <c r="G22" s="134"/>
      <c r="H22" s="849"/>
      <c r="I22" s="849"/>
      <c r="J22" s="849"/>
      <c r="K22" s="849"/>
      <c r="L22" s="849"/>
      <c r="M22" s="206"/>
    </row>
    <row r="23" spans="1:13" ht="12" customHeight="1">
      <c r="A23" s="859" t="s">
        <v>54</v>
      </c>
      <c r="B23" s="859"/>
      <c r="C23" s="859"/>
      <c r="D23" s="859"/>
      <c r="E23" s="859"/>
      <c r="F23" s="227"/>
      <c r="G23" s="437"/>
      <c r="H23" s="838" t="s">
        <v>15</v>
      </c>
      <c r="I23" s="838"/>
      <c r="J23" s="838"/>
      <c r="K23" s="838"/>
      <c r="L23" s="229">
        <f>F23*$L$15</f>
        <v>0</v>
      </c>
      <c r="M23" s="206"/>
    </row>
    <row r="24" spans="1:13" ht="9.75" customHeight="1">
      <c r="A24" s="858" t="s">
        <v>8</v>
      </c>
      <c r="B24" s="858"/>
      <c r="C24" s="858"/>
      <c r="D24" s="858"/>
      <c r="E24" s="858"/>
      <c r="F24" s="134"/>
      <c r="G24" s="134"/>
      <c r="H24" s="849"/>
      <c r="I24" s="849"/>
      <c r="J24" s="849"/>
      <c r="K24" s="849"/>
      <c r="L24" s="849"/>
      <c r="M24" s="206"/>
    </row>
    <row r="25" spans="1:13" ht="11.25">
      <c r="A25" s="858" t="s">
        <v>65</v>
      </c>
      <c r="B25" s="858"/>
      <c r="C25" s="858"/>
      <c r="D25" s="858"/>
      <c r="E25" s="858"/>
      <c r="F25" s="230"/>
      <c r="G25" s="230"/>
      <c r="H25" s="838"/>
      <c r="I25" s="838"/>
      <c r="J25" s="838"/>
      <c r="K25" s="838"/>
      <c r="L25" s="231"/>
      <c r="M25" s="206"/>
    </row>
    <row r="26" spans="1:13" ht="12" customHeight="1">
      <c r="A26" s="859" t="s">
        <v>55</v>
      </c>
      <c r="B26" s="859"/>
      <c r="C26" s="859"/>
      <c r="D26" s="859"/>
      <c r="E26" s="859"/>
      <c r="F26" s="227">
        <v>1.157</v>
      </c>
      <c r="G26" s="437"/>
      <c r="H26" s="838" t="s">
        <v>15</v>
      </c>
      <c r="I26" s="838"/>
      <c r="J26" s="838"/>
      <c r="K26" s="838"/>
      <c r="L26" s="229">
        <f>TRUNC(F26*$L$15,2)</f>
        <v>13286.46</v>
      </c>
      <c r="M26" s="206"/>
    </row>
    <row r="27" spans="1:13" ht="10.5" customHeight="1">
      <c r="A27" s="860" t="s">
        <v>27</v>
      </c>
      <c r="B27" s="860"/>
      <c r="C27" s="860"/>
      <c r="D27" s="860"/>
      <c r="E27" s="860"/>
      <c r="F27" s="860"/>
      <c r="G27" s="860"/>
      <c r="H27" s="860"/>
      <c r="I27" s="860"/>
      <c r="J27" s="860"/>
      <c r="K27" s="860"/>
      <c r="L27" s="229">
        <f>TRUNC(L19+L21+L23+L26,2)</f>
        <v>13286.46</v>
      </c>
      <c r="M27" s="206"/>
    </row>
    <row r="28" spans="1:13" ht="12.75" customHeight="1">
      <c r="A28" s="232"/>
      <c r="B28" s="434"/>
      <c r="C28" s="144"/>
      <c r="D28" s="144"/>
      <c r="E28" s="144"/>
      <c r="F28" s="144"/>
      <c r="G28" s="144"/>
      <c r="H28" s="144"/>
      <c r="I28" s="144" t="s">
        <v>118</v>
      </c>
      <c r="J28" s="144"/>
      <c r="K28" s="233"/>
      <c r="L28" s="145">
        <f>L27+L15</f>
        <v>24770.01</v>
      </c>
      <c r="M28" s="206"/>
    </row>
    <row r="29" spans="1:13" ht="10.5" customHeight="1">
      <c r="A29" s="852" t="s">
        <v>38</v>
      </c>
      <c r="B29" s="853"/>
      <c r="C29" s="853"/>
      <c r="D29" s="853"/>
      <c r="E29" s="853"/>
      <c r="F29" s="853"/>
      <c r="G29" s="853"/>
      <c r="H29" s="853"/>
      <c r="I29" s="853"/>
      <c r="J29" s="853"/>
      <c r="K29" s="853"/>
      <c r="L29" s="854"/>
      <c r="M29" s="206"/>
    </row>
    <row r="30" spans="1:13" ht="12.75">
      <c r="A30" s="135" t="s">
        <v>57</v>
      </c>
      <c r="B30" s="135"/>
      <c r="C30" s="855" t="s">
        <v>16</v>
      </c>
      <c r="D30" s="855"/>
      <c r="E30" s="855"/>
      <c r="F30" s="130" t="s">
        <v>35</v>
      </c>
      <c r="G30" s="130"/>
      <c r="H30" s="130" t="s">
        <v>30</v>
      </c>
      <c r="I30" s="856" t="s">
        <v>37</v>
      </c>
      <c r="J30" s="857"/>
      <c r="K30" s="857"/>
      <c r="L30" s="136" t="s">
        <v>36</v>
      </c>
      <c r="M30" s="206"/>
    </row>
    <row r="31" spans="1:13" ht="12.75">
      <c r="A31" s="234">
        <v>1</v>
      </c>
      <c r="B31" s="234"/>
      <c r="C31" s="837" t="s">
        <v>58</v>
      </c>
      <c r="D31" s="837"/>
      <c r="E31" s="837"/>
      <c r="F31" s="235"/>
      <c r="G31" s="438"/>
      <c r="H31" s="236"/>
      <c r="I31" s="849" t="s">
        <v>37</v>
      </c>
      <c r="J31" s="850"/>
      <c r="K31" s="850"/>
      <c r="L31" s="237"/>
      <c r="M31" s="206"/>
    </row>
    <row r="32" spans="1:14" ht="12.75">
      <c r="A32" s="238">
        <v>2</v>
      </c>
      <c r="B32" s="238"/>
      <c r="C32" s="846" t="s">
        <v>60</v>
      </c>
      <c r="D32" s="846"/>
      <c r="E32" s="846"/>
      <c r="F32" s="239">
        <v>12</v>
      </c>
      <c r="G32" s="439"/>
      <c r="H32" s="236">
        <v>10</v>
      </c>
      <c r="I32" s="849" t="s">
        <v>37</v>
      </c>
      <c r="J32" s="850"/>
      <c r="K32" s="850"/>
      <c r="L32" s="240">
        <f>TRUNC(F32*H32,2)</f>
        <v>120</v>
      </c>
      <c r="M32" s="206"/>
      <c r="N32" s="241"/>
    </row>
    <row r="33" spans="1:13" ht="12.75">
      <c r="A33" s="238">
        <v>3</v>
      </c>
      <c r="B33" s="238"/>
      <c r="C33" s="846" t="s">
        <v>61</v>
      </c>
      <c r="D33" s="846"/>
      <c r="E33" s="846"/>
      <c r="F33" s="239">
        <v>6</v>
      </c>
      <c r="G33" s="439"/>
      <c r="H33" s="236">
        <v>30</v>
      </c>
      <c r="I33" s="849" t="s">
        <v>37</v>
      </c>
      <c r="J33" s="850"/>
      <c r="K33" s="850"/>
      <c r="L33" s="240">
        <f>TRUNC(F33*H33,2)</f>
        <v>180</v>
      </c>
      <c r="M33" s="206"/>
    </row>
    <row r="34" spans="1:13" ht="12.75">
      <c r="A34" s="238">
        <v>4</v>
      </c>
      <c r="B34" s="238"/>
      <c r="C34" s="846" t="s">
        <v>293</v>
      </c>
      <c r="D34" s="846"/>
      <c r="E34" s="846"/>
      <c r="F34" s="239">
        <v>1</v>
      </c>
      <c r="G34" s="439"/>
      <c r="H34" s="236">
        <v>6000</v>
      </c>
      <c r="I34" s="849" t="s">
        <v>37</v>
      </c>
      <c r="J34" s="850"/>
      <c r="K34" s="850"/>
      <c r="L34" s="240">
        <f>TRUNC(F34*H34,2)</f>
        <v>6000</v>
      </c>
      <c r="M34" s="206"/>
    </row>
    <row r="35" spans="1:13" ht="12.75">
      <c r="A35" s="238">
        <v>5</v>
      </c>
      <c r="B35" s="238"/>
      <c r="C35" s="846" t="s">
        <v>63</v>
      </c>
      <c r="D35" s="846"/>
      <c r="E35" s="846"/>
      <c r="F35" s="242"/>
      <c r="G35" s="439"/>
      <c r="H35" s="236"/>
      <c r="I35" s="849" t="s">
        <v>37</v>
      </c>
      <c r="J35" s="850"/>
      <c r="K35" s="850"/>
      <c r="L35" s="240"/>
      <c r="M35" s="206"/>
    </row>
    <row r="36" spans="1:13" ht="12.75">
      <c r="A36" s="243">
        <v>6</v>
      </c>
      <c r="B36" s="243"/>
      <c r="C36" s="847" t="s">
        <v>83</v>
      </c>
      <c r="D36" s="847"/>
      <c r="E36" s="848"/>
      <c r="F36" s="236">
        <v>1</v>
      </c>
      <c r="G36" s="236"/>
      <c r="H36" s="236">
        <v>1000</v>
      </c>
      <c r="I36" s="849" t="s">
        <v>37</v>
      </c>
      <c r="J36" s="850"/>
      <c r="K36" s="850"/>
      <c r="L36" s="244">
        <f>TRUNC(F36*H36,2)</f>
        <v>1000</v>
      </c>
      <c r="M36" s="206"/>
    </row>
    <row r="37" spans="1:13" ht="12.75" customHeight="1">
      <c r="A37" s="851" t="s">
        <v>28</v>
      </c>
      <c r="B37" s="851"/>
      <c r="C37" s="851"/>
      <c r="D37" s="851"/>
      <c r="E37" s="851"/>
      <c r="F37" s="851"/>
      <c r="G37" s="851"/>
      <c r="H37" s="851"/>
      <c r="I37" s="851"/>
      <c r="J37" s="851"/>
      <c r="K37" s="851"/>
      <c r="L37" s="142">
        <f>TRUNC(SUM(L31:L36),2)</f>
        <v>7300</v>
      </c>
      <c r="M37" s="206"/>
    </row>
    <row r="38" spans="1:13" ht="12.75" customHeight="1">
      <c r="A38" s="851" t="s">
        <v>29</v>
      </c>
      <c r="B38" s="851"/>
      <c r="C38" s="851"/>
      <c r="D38" s="851"/>
      <c r="E38" s="851"/>
      <c r="F38" s="851"/>
      <c r="G38" s="851"/>
      <c r="H38" s="851"/>
      <c r="I38" s="851"/>
      <c r="J38" s="851"/>
      <c r="K38" s="851"/>
      <c r="L38" s="142">
        <f>TRUNC(L15+L27+L37,2)</f>
        <v>32070.01</v>
      </c>
      <c r="M38" s="206"/>
    </row>
    <row r="39" spans="1:13" ht="10.5" customHeight="1">
      <c r="A39" s="852" t="s">
        <v>59</v>
      </c>
      <c r="B39" s="853"/>
      <c r="C39" s="853"/>
      <c r="D39" s="853"/>
      <c r="E39" s="853"/>
      <c r="F39" s="853"/>
      <c r="G39" s="853"/>
      <c r="H39" s="853"/>
      <c r="I39" s="853"/>
      <c r="J39" s="853"/>
      <c r="K39" s="853"/>
      <c r="L39" s="854"/>
      <c r="M39" s="206"/>
    </row>
    <row r="40" spans="1:13" ht="11.25" hidden="1">
      <c r="A40" s="833"/>
      <c r="B40" s="833"/>
      <c r="C40" s="833"/>
      <c r="D40" s="833"/>
      <c r="E40" s="833"/>
      <c r="F40" s="134" t="s">
        <v>18</v>
      </c>
      <c r="G40" s="134"/>
      <c r="H40" s="838"/>
      <c r="I40" s="838"/>
      <c r="J40" s="838"/>
      <c r="K40" s="838"/>
      <c r="L40" s="228"/>
      <c r="M40" s="206"/>
    </row>
    <row r="41" spans="1:14" ht="11.25">
      <c r="A41" s="833" t="s">
        <v>19</v>
      </c>
      <c r="B41" s="833"/>
      <c r="C41" s="833"/>
      <c r="D41" s="833"/>
      <c r="E41" s="833"/>
      <c r="F41" s="245">
        <v>0.0529</v>
      </c>
      <c r="G41" s="440"/>
      <c r="H41" s="838" t="s">
        <v>15</v>
      </c>
      <c r="I41" s="838"/>
      <c r="J41" s="838"/>
      <c r="K41" s="838"/>
      <c r="L41" s="246"/>
      <c r="M41" s="206"/>
      <c r="N41" s="247"/>
    </row>
    <row r="42" spans="1:14" ht="9.75" customHeight="1">
      <c r="A42" s="248" t="s">
        <v>114</v>
      </c>
      <c r="B42" s="248"/>
      <c r="C42" s="248"/>
      <c r="D42" s="248"/>
      <c r="E42" s="248"/>
      <c r="F42" s="249">
        <v>0.0101</v>
      </c>
      <c r="G42" s="441"/>
      <c r="H42" s="248"/>
      <c r="I42" s="248"/>
      <c r="J42" s="248"/>
      <c r="K42" s="248"/>
      <c r="L42" s="246"/>
      <c r="M42" s="250"/>
      <c r="N42" s="247"/>
    </row>
    <row r="43" spans="1:14" ht="11.25" customHeight="1">
      <c r="A43" s="833" t="s">
        <v>116</v>
      </c>
      <c r="B43" s="833"/>
      <c r="C43" s="833"/>
      <c r="D43" s="833"/>
      <c r="E43" s="833"/>
      <c r="F43" s="245">
        <v>0.017</v>
      </c>
      <c r="G43" s="440"/>
      <c r="H43" s="228"/>
      <c r="I43" s="228"/>
      <c r="J43" s="228"/>
      <c r="K43" s="228"/>
      <c r="L43" s="246"/>
      <c r="M43" s="206"/>
      <c r="N43" s="247"/>
    </row>
    <row r="44" spans="1:14" ht="11.25" customHeight="1">
      <c r="A44" s="833" t="s">
        <v>117</v>
      </c>
      <c r="B44" s="833"/>
      <c r="C44" s="833"/>
      <c r="D44" s="833"/>
      <c r="E44" s="833"/>
      <c r="F44" s="245">
        <v>0.0025</v>
      </c>
      <c r="G44" s="440"/>
      <c r="H44" s="228"/>
      <c r="I44" s="228"/>
      <c r="J44" s="228"/>
      <c r="K44" s="228"/>
      <c r="L44" s="246"/>
      <c r="M44" s="206"/>
      <c r="N44" s="247"/>
    </row>
    <row r="45" spans="1:14" ht="11.25" customHeight="1">
      <c r="A45" s="833" t="s">
        <v>115</v>
      </c>
      <c r="B45" s="833"/>
      <c r="C45" s="833"/>
      <c r="D45" s="833"/>
      <c r="E45" s="833"/>
      <c r="F45" s="245">
        <v>0.08</v>
      </c>
      <c r="G45" s="440"/>
      <c r="H45" s="228"/>
      <c r="I45" s="228"/>
      <c r="J45" s="228"/>
      <c r="K45" s="228"/>
      <c r="L45" s="246"/>
      <c r="M45" s="206"/>
      <c r="N45" s="247"/>
    </row>
    <row r="46" spans="1:14" ht="11.25" customHeight="1">
      <c r="A46" s="251"/>
      <c r="B46" s="251"/>
      <c r="C46" s="141"/>
      <c r="D46" s="251"/>
      <c r="E46" s="251"/>
      <c r="F46" s="153"/>
      <c r="G46" s="442"/>
      <c r="H46" s="251"/>
      <c r="I46" s="251"/>
      <c r="J46" s="251"/>
      <c r="K46" s="251"/>
      <c r="L46" s="252"/>
      <c r="M46" s="205"/>
      <c r="N46" s="247"/>
    </row>
    <row r="47" spans="1:13" ht="12.75" customHeight="1">
      <c r="A47" s="832" t="s">
        <v>66</v>
      </c>
      <c r="B47" s="832"/>
      <c r="C47" s="832"/>
      <c r="D47" s="832"/>
      <c r="E47" s="832"/>
      <c r="F47" s="832"/>
      <c r="G47" s="832"/>
      <c r="H47" s="832"/>
      <c r="I47" s="832"/>
      <c r="J47" s="832"/>
      <c r="K47" s="832"/>
      <c r="L47" s="142"/>
      <c r="M47" s="206"/>
    </row>
    <row r="48" spans="1:13" ht="10.5" customHeight="1">
      <c r="A48" s="834" t="s">
        <v>40</v>
      </c>
      <c r="B48" s="835"/>
      <c r="C48" s="835"/>
      <c r="D48" s="835"/>
      <c r="E48" s="835"/>
      <c r="F48" s="835"/>
      <c r="G48" s="835"/>
      <c r="H48" s="835"/>
      <c r="I48" s="835"/>
      <c r="J48" s="835"/>
      <c r="K48" s="835"/>
      <c r="L48" s="836"/>
      <c r="M48" s="206"/>
    </row>
    <row r="49" spans="1:13" ht="11.25">
      <c r="A49" s="837" t="s">
        <v>20</v>
      </c>
      <c r="B49" s="837"/>
      <c r="C49" s="837"/>
      <c r="D49" s="837"/>
      <c r="E49" s="837"/>
      <c r="F49" s="253">
        <v>0.04</v>
      </c>
      <c r="G49" s="443"/>
      <c r="H49" s="838" t="s">
        <v>15</v>
      </c>
      <c r="I49" s="838"/>
      <c r="J49" s="838"/>
      <c r="K49" s="838"/>
      <c r="L49" s="254"/>
      <c r="M49" s="206"/>
    </row>
    <row r="50" spans="1:13" ht="11.25" customHeight="1">
      <c r="A50" s="846" t="s">
        <v>21</v>
      </c>
      <c r="B50" s="846"/>
      <c r="C50" s="846"/>
      <c r="D50" s="846"/>
      <c r="E50" s="846"/>
      <c r="F50" s="255">
        <v>0.0065</v>
      </c>
      <c r="G50" s="443"/>
      <c r="H50" s="838" t="s">
        <v>15</v>
      </c>
      <c r="I50" s="838"/>
      <c r="J50" s="838"/>
      <c r="K50" s="838"/>
      <c r="L50" s="448">
        <f>L38+L28</f>
        <v>56840.02</v>
      </c>
      <c r="M50" s="206"/>
    </row>
    <row r="51" spans="1:13" ht="11.25" customHeight="1">
      <c r="A51" s="846" t="s">
        <v>22</v>
      </c>
      <c r="B51" s="846"/>
      <c r="C51" s="846"/>
      <c r="D51" s="846"/>
      <c r="E51" s="846"/>
      <c r="F51" s="255">
        <v>0.03</v>
      </c>
      <c r="G51" s="443"/>
      <c r="H51" s="838" t="s">
        <v>15</v>
      </c>
      <c r="I51" s="838"/>
      <c r="J51" s="838"/>
      <c r="K51" s="838"/>
      <c r="L51" s="256"/>
      <c r="M51" s="206"/>
    </row>
    <row r="52" spans="1:13" ht="11.25" customHeight="1">
      <c r="A52" s="869"/>
      <c r="B52" s="870"/>
      <c r="C52" s="870"/>
      <c r="D52" s="870"/>
      <c r="E52" s="871"/>
      <c r="F52" s="146"/>
      <c r="G52" s="444"/>
      <c r="H52" s="257"/>
      <c r="I52" s="258"/>
      <c r="J52" s="258"/>
      <c r="K52" s="259"/>
      <c r="L52" s="256">
        <f>L28*F52</f>
        <v>0</v>
      </c>
      <c r="M52" s="206"/>
    </row>
    <row r="53" spans="1:13" ht="12.75" customHeight="1">
      <c r="A53" s="843"/>
      <c r="B53" s="843"/>
      <c r="C53" s="844"/>
      <c r="D53" s="844"/>
      <c r="E53" s="844"/>
      <c r="F53" s="146"/>
      <c r="G53" s="443"/>
      <c r="H53" s="838"/>
      <c r="I53" s="838"/>
      <c r="J53" s="838"/>
      <c r="K53" s="838"/>
      <c r="L53" s="256"/>
      <c r="M53" s="206"/>
    </row>
    <row r="54" spans="1:13" ht="13.5" customHeight="1" hidden="1">
      <c r="A54" s="839"/>
      <c r="B54" s="839"/>
      <c r="C54" s="839"/>
      <c r="D54" s="839"/>
      <c r="E54" s="839"/>
      <c r="F54" s="260"/>
      <c r="G54" s="260"/>
      <c r="H54" s="845"/>
      <c r="I54" s="845"/>
      <c r="J54" s="261"/>
      <c r="K54" s="261"/>
      <c r="L54" s="139">
        <f>VALUE(L38/(1-SUM(F41:F43,F49:F53)))</f>
        <v>38020.16597510373</v>
      </c>
      <c r="M54" s="206"/>
    </row>
    <row r="55" spans="1:13" ht="12.75">
      <c r="A55" s="840" t="s">
        <v>68</v>
      </c>
      <c r="B55" s="840"/>
      <c r="C55" s="840"/>
      <c r="D55" s="840"/>
      <c r="E55" s="840"/>
      <c r="F55" s="840"/>
      <c r="G55" s="840"/>
      <c r="H55" s="840"/>
      <c r="I55" s="840"/>
      <c r="J55" s="840"/>
      <c r="K55" s="840"/>
      <c r="L55" s="142">
        <f>L50*F56</f>
        <v>14153.16498</v>
      </c>
      <c r="M55" s="206"/>
    </row>
    <row r="56" spans="1:13" ht="12.75">
      <c r="A56" s="147"/>
      <c r="B56" s="447" t="s">
        <v>294</v>
      </c>
      <c r="C56" s="148"/>
      <c r="D56" s="148"/>
      <c r="E56" s="148"/>
      <c r="F56" s="432">
        <v>0.249</v>
      </c>
      <c r="G56" s="432"/>
      <c r="H56" s="148"/>
      <c r="I56" s="148"/>
      <c r="J56" s="148"/>
      <c r="K56" s="149"/>
      <c r="L56" s="262"/>
      <c r="M56" s="206"/>
    </row>
    <row r="57" spans="1:13" ht="12.75">
      <c r="A57" s="841" t="s">
        <v>69</v>
      </c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142">
        <f>L55</f>
        <v>14153.16498</v>
      </c>
      <c r="M57" s="206"/>
    </row>
    <row r="58" spans="1:13" ht="12.75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2"/>
      <c r="L58" s="262"/>
      <c r="M58" s="206"/>
    </row>
    <row r="59" spans="1:13" ht="12.75">
      <c r="A59" s="842" t="s">
        <v>70</v>
      </c>
      <c r="B59" s="842"/>
      <c r="C59" s="842"/>
      <c r="D59" s="842"/>
      <c r="E59" s="842"/>
      <c r="F59" s="842"/>
      <c r="G59" s="842"/>
      <c r="H59" s="842"/>
      <c r="I59" s="842"/>
      <c r="J59" s="842"/>
      <c r="K59" s="842"/>
      <c r="L59" s="143">
        <f>L57+L38+L28</f>
        <v>70993.18497999999</v>
      </c>
      <c r="M59" s="206"/>
    </row>
    <row r="60" spans="1:13" ht="54.75" customHeight="1">
      <c r="A60" s="827" t="s">
        <v>297</v>
      </c>
      <c r="B60" s="828"/>
      <c r="C60" s="829"/>
      <c r="D60" s="829"/>
      <c r="E60" s="829"/>
      <c r="F60" s="829"/>
      <c r="G60" s="829"/>
      <c r="H60" s="829"/>
      <c r="I60" s="829"/>
      <c r="J60" s="829"/>
      <c r="K60" s="829"/>
      <c r="L60" s="830"/>
      <c r="M60" s="206"/>
    </row>
    <row r="61" spans="1:13" ht="10.5" customHeight="1">
      <c r="A61" s="831" t="s">
        <v>10</v>
      </c>
      <c r="B61" s="831"/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206"/>
    </row>
    <row r="62" spans="1:13" ht="12" customHeight="1">
      <c r="A62" s="832" t="s">
        <v>9</v>
      </c>
      <c r="B62" s="832"/>
      <c r="C62" s="832"/>
      <c r="D62" s="832"/>
      <c r="E62" s="832"/>
      <c r="F62" s="832"/>
      <c r="G62" s="832"/>
      <c r="H62" s="832"/>
      <c r="I62" s="832"/>
      <c r="J62" s="832"/>
      <c r="K62" s="832"/>
      <c r="L62" s="263"/>
      <c r="M62" s="206"/>
    </row>
    <row r="63" spans="1:14" s="265" customFormat="1" ht="15.75">
      <c r="A63" s="824" t="s">
        <v>71</v>
      </c>
      <c r="B63" s="825"/>
      <c r="C63" s="825"/>
      <c r="D63" s="825"/>
      <c r="E63" s="825"/>
      <c r="F63" s="825"/>
      <c r="G63" s="825"/>
      <c r="H63" s="825"/>
      <c r="I63" s="825"/>
      <c r="J63" s="826"/>
      <c r="K63" s="823">
        <f>TRUNC(L59+L62,2)</f>
        <v>70993.18</v>
      </c>
      <c r="L63" s="823"/>
      <c r="M63" s="264"/>
      <c r="N63" s="451"/>
    </row>
    <row r="64" spans="1:13" ht="12.75" customHeight="1">
      <c r="A64" s="824" t="s">
        <v>79</v>
      </c>
      <c r="B64" s="825"/>
      <c r="C64" s="825"/>
      <c r="D64" s="825"/>
      <c r="E64" s="825"/>
      <c r="F64" s="825"/>
      <c r="G64" s="825"/>
      <c r="H64" s="825"/>
      <c r="I64" s="825"/>
      <c r="J64" s="826"/>
      <c r="K64" s="823">
        <v>700</v>
      </c>
      <c r="L64" s="823"/>
      <c r="M64" s="206"/>
    </row>
    <row r="65" spans="1:13" ht="12.75" customHeight="1">
      <c r="A65" s="824" t="s">
        <v>84</v>
      </c>
      <c r="B65" s="825"/>
      <c r="C65" s="825"/>
      <c r="D65" s="825"/>
      <c r="E65" s="825"/>
      <c r="F65" s="825"/>
      <c r="G65" s="825"/>
      <c r="H65" s="825"/>
      <c r="I65" s="825"/>
      <c r="J65" s="826"/>
      <c r="K65" s="821">
        <v>101.41</v>
      </c>
      <c r="L65" s="822"/>
      <c r="M65" s="206"/>
    </row>
    <row r="68" spans="12:14" ht="11.25">
      <c r="L68" s="266"/>
      <c r="N68" s="267"/>
    </row>
  </sheetData>
  <sheetProtection/>
  <mergeCells count="96">
    <mergeCell ref="A1:L1"/>
    <mergeCell ref="A2:C2"/>
    <mergeCell ref="D2:E2"/>
    <mergeCell ref="I2:L2"/>
    <mergeCell ref="F2:H2"/>
    <mergeCell ref="A4:M4"/>
    <mergeCell ref="A5:C5"/>
    <mergeCell ref="I5:L5"/>
    <mergeCell ref="A3:C3"/>
    <mergeCell ref="D3:E3"/>
    <mergeCell ref="F3:L3"/>
    <mergeCell ref="A6:C6"/>
    <mergeCell ref="D6:L6"/>
    <mergeCell ref="A7:M7"/>
    <mergeCell ref="A8:L8"/>
    <mergeCell ref="C9:D9"/>
    <mergeCell ref="J9:K9"/>
    <mergeCell ref="J10:K10"/>
    <mergeCell ref="A52:E52"/>
    <mergeCell ref="J11:K11"/>
    <mergeCell ref="C12:D12"/>
    <mergeCell ref="J12:K12"/>
    <mergeCell ref="C13:D13"/>
    <mergeCell ref="J13:K13"/>
    <mergeCell ref="C14:D14"/>
    <mergeCell ref="J14:K14"/>
    <mergeCell ref="A15:K15"/>
    <mergeCell ref="A16:L16"/>
    <mergeCell ref="A18:E18"/>
    <mergeCell ref="H18:L18"/>
    <mergeCell ref="A19:E19"/>
    <mergeCell ref="H19:K19"/>
    <mergeCell ref="A20:E20"/>
    <mergeCell ref="H20:L20"/>
    <mergeCell ref="A21:E21"/>
    <mergeCell ref="H21:K21"/>
    <mergeCell ref="A22:E22"/>
    <mergeCell ref="H22:L22"/>
    <mergeCell ref="A23:E23"/>
    <mergeCell ref="H23:K23"/>
    <mergeCell ref="A24:E24"/>
    <mergeCell ref="H24:L24"/>
    <mergeCell ref="A25:E25"/>
    <mergeCell ref="H25:K25"/>
    <mergeCell ref="A26:E26"/>
    <mergeCell ref="H26:K26"/>
    <mergeCell ref="A27:K27"/>
    <mergeCell ref="A29:L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5:E35"/>
    <mergeCell ref="I35:K35"/>
    <mergeCell ref="C36:E36"/>
    <mergeCell ref="I36:K36"/>
    <mergeCell ref="A41:E41"/>
    <mergeCell ref="H41:K41"/>
    <mergeCell ref="A43:E43"/>
    <mergeCell ref="A37:K37"/>
    <mergeCell ref="A38:K38"/>
    <mergeCell ref="A39:L39"/>
    <mergeCell ref="A40:E40"/>
    <mergeCell ref="H40:K40"/>
    <mergeCell ref="A55:K55"/>
    <mergeCell ref="A57:K57"/>
    <mergeCell ref="A59:K59"/>
    <mergeCell ref="A53:E53"/>
    <mergeCell ref="H53:K53"/>
    <mergeCell ref="A47:K47"/>
    <mergeCell ref="H54:I54"/>
    <mergeCell ref="A50:E50"/>
    <mergeCell ref="H50:K50"/>
    <mergeCell ref="A51:E51"/>
    <mergeCell ref="A45:E45"/>
    <mergeCell ref="A48:L48"/>
    <mergeCell ref="A49:E49"/>
    <mergeCell ref="H49:K49"/>
    <mergeCell ref="A54:E54"/>
    <mergeCell ref="A44:E44"/>
    <mergeCell ref="H51:K51"/>
    <mergeCell ref="K65:L65"/>
    <mergeCell ref="K63:L63"/>
    <mergeCell ref="A64:J64"/>
    <mergeCell ref="K64:L64"/>
    <mergeCell ref="A60:L60"/>
    <mergeCell ref="A61:L61"/>
    <mergeCell ref="A65:J65"/>
    <mergeCell ref="A63:J63"/>
    <mergeCell ref="A62:K62"/>
  </mergeCells>
  <printOptions gridLines="1" horizontalCentered="1"/>
  <pageMargins left="0.5905511811023623" right="0.5905511811023623" top="1.7716535433070868" bottom="0.984251968503937" header="0.5118110236220472" footer="0.3937007874015748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120" zoomScaleNormal="120" zoomScaleSheetLayoutView="150" zoomScalePageLayoutView="0" workbookViewId="0" topLeftCell="A22">
      <selection activeCell="C41" sqref="C41:D43"/>
    </sheetView>
  </sheetViews>
  <sheetFormatPr defaultColWidth="8.8515625" defaultRowHeight="12.75"/>
  <cols>
    <col min="1" max="1" width="4.57421875" style="131" customWidth="1"/>
    <col min="2" max="2" width="4.7109375" style="127" customWidth="1"/>
    <col min="3" max="3" width="15.57421875" style="127" customWidth="1"/>
    <col min="4" max="4" width="13.140625" style="127" customWidth="1"/>
    <col min="5" max="5" width="13.421875" style="127" customWidth="1"/>
    <col min="6" max="6" width="13.8515625" style="127" customWidth="1"/>
    <col min="7" max="7" width="9.00390625" style="127" customWidth="1"/>
    <col min="8" max="8" width="8.8515625" style="127" customWidth="1"/>
    <col min="9" max="9" width="6.7109375" style="129" customWidth="1"/>
    <col min="10" max="10" width="15.421875" style="127" customWidth="1"/>
    <col min="11" max="16384" width="8.8515625" style="127" customWidth="1"/>
  </cols>
  <sheetData>
    <row r="1" spans="1:9" ht="56.25" customHeight="1">
      <c r="A1" s="904" t="s">
        <v>186</v>
      </c>
      <c r="B1" s="905"/>
      <c r="C1" s="905"/>
      <c r="D1" s="905"/>
      <c r="E1" s="905"/>
      <c r="F1" s="905"/>
      <c r="G1" s="905"/>
      <c r="H1" s="905"/>
      <c r="I1" s="905"/>
    </row>
    <row r="2" spans="1:9" ht="18" customHeight="1">
      <c r="A2" s="926" t="s">
        <v>120</v>
      </c>
      <c r="B2" s="927"/>
      <c r="C2" s="928" t="s">
        <v>282</v>
      </c>
      <c r="D2" s="927"/>
      <c r="E2" s="933" t="s">
        <v>32</v>
      </c>
      <c r="F2" s="934"/>
      <c r="G2" s="929"/>
      <c r="H2" s="926"/>
      <c r="I2" s="927"/>
    </row>
    <row r="3" spans="1:9" ht="12.75">
      <c r="A3" s="923"/>
      <c r="B3" s="924"/>
      <c r="C3" s="925"/>
      <c r="D3" s="927"/>
      <c r="E3" s="935"/>
      <c r="F3" s="936"/>
      <c r="G3" s="930"/>
      <c r="H3" s="931"/>
      <c r="I3" s="932"/>
    </row>
    <row r="4" spans="1:9" ht="24" customHeight="1">
      <c r="A4" s="923"/>
      <c r="B4" s="924"/>
      <c r="C4" s="156" t="s">
        <v>298</v>
      </c>
      <c r="D4" s="155" t="s">
        <v>2</v>
      </c>
      <c r="E4" s="187"/>
      <c r="F4" s="155" t="s">
        <v>4</v>
      </c>
      <c r="G4" s="925" t="s">
        <v>51</v>
      </c>
      <c r="H4" s="926"/>
      <c r="I4" s="927"/>
    </row>
    <row r="5" spans="1:9" ht="34.5" customHeight="1">
      <c r="A5" s="916"/>
      <c r="B5" s="917"/>
      <c r="C5" s="918" t="s">
        <v>283</v>
      </c>
      <c r="D5" s="919"/>
      <c r="E5" s="919"/>
      <c r="F5" s="919"/>
      <c r="G5" s="919"/>
      <c r="H5" s="919"/>
      <c r="I5" s="920"/>
    </row>
    <row r="6" spans="1:9" ht="10.5" customHeight="1">
      <c r="A6" s="852" t="s">
        <v>85</v>
      </c>
      <c r="B6" s="921"/>
      <c r="C6" s="921"/>
      <c r="D6" s="921"/>
      <c r="E6" s="921"/>
      <c r="F6" s="921"/>
      <c r="G6" s="921"/>
      <c r="H6" s="921"/>
      <c r="I6" s="922"/>
    </row>
    <row r="7" spans="1:9" ht="11.25" customHeight="1">
      <c r="A7" s="906" t="s">
        <v>86</v>
      </c>
      <c r="B7" s="908"/>
      <c r="C7" s="908"/>
      <c r="D7" s="908"/>
      <c r="E7" s="908"/>
      <c r="F7" s="908"/>
      <c r="G7" s="908"/>
      <c r="H7" s="908"/>
      <c r="I7" s="909"/>
    </row>
    <row r="8" spans="1:9" ht="11.25" customHeight="1">
      <c r="A8" s="910"/>
      <c r="B8" s="911"/>
      <c r="C8" s="911"/>
      <c r="D8" s="911"/>
      <c r="E8" s="911"/>
      <c r="F8" s="911"/>
      <c r="G8" s="911"/>
      <c r="H8" s="911"/>
      <c r="I8" s="912"/>
    </row>
    <row r="9" spans="1:9" ht="11.25" customHeight="1">
      <c r="A9" s="910"/>
      <c r="B9" s="911"/>
      <c r="C9" s="911"/>
      <c r="D9" s="911"/>
      <c r="E9" s="911"/>
      <c r="F9" s="911"/>
      <c r="G9" s="911"/>
      <c r="H9" s="911"/>
      <c r="I9" s="912"/>
    </row>
    <row r="10" spans="1:9" ht="11.25" customHeight="1">
      <c r="A10" s="910"/>
      <c r="B10" s="911"/>
      <c r="C10" s="911"/>
      <c r="D10" s="911"/>
      <c r="E10" s="911"/>
      <c r="F10" s="911"/>
      <c r="G10" s="911"/>
      <c r="H10" s="911"/>
      <c r="I10" s="912"/>
    </row>
    <row r="11" spans="1:9" ht="11.25" customHeight="1">
      <c r="A11" s="910"/>
      <c r="B11" s="911"/>
      <c r="C11" s="911"/>
      <c r="D11" s="911"/>
      <c r="E11" s="911"/>
      <c r="F11" s="911"/>
      <c r="G11" s="911"/>
      <c r="H11" s="911"/>
      <c r="I11" s="912"/>
    </row>
    <row r="12" spans="1:9" ht="11.25" customHeight="1">
      <c r="A12" s="910"/>
      <c r="B12" s="911"/>
      <c r="C12" s="911"/>
      <c r="D12" s="911"/>
      <c r="E12" s="911"/>
      <c r="F12" s="911"/>
      <c r="G12" s="911"/>
      <c r="H12" s="911"/>
      <c r="I12" s="912"/>
    </row>
    <row r="13" spans="1:9" ht="10.5" customHeight="1">
      <c r="A13" s="913"/>
      <c r="B13" s="914"/>
      <c r="C13" s="914"/>
      <c r="D13" s="914"/>
      <c r="E13" s="914"/>
      <c r="F13" s="914"/>
      <c r="G13" s="914"/>
      <c r="H13" s="914"/>
      <c r="I13" s="915"/>
    </row>
    <row r="14" spans="1:9" ht="14.25" customHeight="1">
      <c r="A14" s="852" t="s">
        <v>87</v>
      </c>
      <c r="B14" s="853"/>
      <c r="C14" s="853"/>
      <c r="D14" s="853"/>
      <c r="E14" s="853"/>
      <c r="F14" s="853"/>
      <c r="G14" s="853"/>
      <c r="H14" s="853"/>
      <c r="I14" s="854"/>
    </row>
    <row r="15" spans="1:9" ht="11.25" customHeight="1">
      <c r="A15" s="906" t="s">
        <v>284</v>
      </c>
      <c r="B15" s="907"/>
      <c r="C15" s="907"/>
      <c r="D15" s="907"/>
      <c r="E15" s="908"/>
      <c r="F15" s="908"/>
      <c r="G15" s="908"/>
      <c r="H15" s="908"/>
      <c r="I15" s="909"/>
    </row>
    <row r="16" spans="1:9" ht="12" customHeight="1">
      <c r="A16" s="910"/>
      <c r="B16" s="911"/>
      <c r="C16" s="911"/>
      <c r="D16" s="911"/>
      <c r="E16" s="911"/>
      <c r="F16" s="911"/>
      <c r="G16" s="911"/>
      <c r="H16" s="911"/>
      <c r="I16" s="912"/>
    </row>
    <row r="17" spans="1:9" ht="9.75" customHeight="1">
      <c r="A17" s="910"/>
      <c r="B17" s="911"/>
      <c r="C17" s="911"/>
      <c r="D17" s="911"/>
      <c r="E17" s="911"/>
      <c r="F17" s="911"/>
      <c r="G17" s="911"/>
      <c r="H17" s="911"/>
      <c r="I17" s="912"/>
    </row>
    <row r="18" spans="1:9" ht="12" customHeight="1">
      <c r="A18" s="910"/>
      <c r="B18" s="911"/>
      <c r="C18" s="911"/>
      <c r="D18" s="911"/>
      <c r="E18" s="911"/>
      <c r="F18" s="911"/>
      <c r="G18" s="911"/>
      <c r="H18" s="911"/>
      <c r="I18" s="912"/>
    </row>
    <row r="19" spans="1:9" ht="9.75" customHeight="1">
      <c r="A19" s="910"/>
      <c r="B19" s="911"/>
      <c r="C19" s="911"/>
      <c r="D19" s="911"/>
      <c r="E19" s="911"/>
      <c r="F19" s="911"/>
      <c r="G19" s="911"/>
      <c r="H19" s="911"/>
      <c r="I19" s="912"/>
    </row>
    <row r="20" spans="1:9" ht="12" customHeight="1">
      <c r="A20" s="910"/>
      <c r="B20" s="911"/>
      <c r="C20" s="911"/>
      <c r="D20" s="911"/>
      <c r="E20" s="911"/>
      <c r="F20" s="911"/>
      <c r="G20" s="911"/>
      <c r="H20" s="911"/>
      <c r="I20" s="912"/>
    </row>
    <row r="21" spans="1:9" ht="9.75" customHeight="1">
      <c r="A21" s="910"/>
      <c r="B21" s="911"/>
      <c r="C21" s="911"/>
      <c r="D21" s="911"/>
      <c r="E21" s="911"/>
      <c r="F21" s="911"/>
      <c r="G21" s="911"/>
      <c r="H21" s="911"/>
      <c r="I21" s="912"/>
    </row>
    <row r="22" spans="1:9" ht="11.25">
      <c r="A22" s="910"/>
      <c r="B22" s="911"/>
      <c r="C22" s="911"/>
      <c r="D22" s="911"/>
      <c r="E22" s="911"/>
      <c r="F22" s="911"/>
      <c r="G22" s="911"/>
      <c r="H22" s="911"/>
      <c r="I22" s="912"/>
    </row>
    <row r="23" spans="1:9" ht="11.25">
      <c r="A23" s="910"/>
      <c r="B23" s="911"/>
      <c r="C23" s="911"/>
      <c r="D23" s="911"/>
      <c r="E23" s="911"/>
      <c r="F23" s="911"/>
      <c r="G23" s="911"/>
      <c r="H23" s="911"/>
      <c r="I23" s="912"/>
    </row>
    <row r="24" spans="1:9" ht="11.25">
      <c r="A24" s="910"/>
      <c r="B24" s="911"/>
      <c r="C24" s="911"/>
      <c r="D24" s="911"/>
      <c r="E24" s="911"/>
      <c r="F24" s="911"/>
      <c r="G24" s="911"/>
      <c r="H24" s="911"/>
      <c r="I24" s="912"/>
    </row>
    <row r="25" spans="1:9" ht="12" customHeight="1">
      <c r="A25" s="913"/>
      <c r="B25" s="914"/>
      <c r="C25" s="914"/>
      <c r="D25" s="914"/>
      <c r="E25" s="914"/>
      <c r="F25" s="914"/>
      <c r="G25" s="914"/>
      <c r="H25" s="914"/>
      <c r="I25" s="915"/>
    </row>
    <row r="26" spans="1:9" ht="12.75" customHeight="1">
      <c r="A26" s="852" t="s">
        <v>88</v>
      </c>
      <c r="B26" s="853"/>
      <c r="C26" s="853"/>
      <c r="D26" s="853"/>
      <c r="E26" s="853"/>
      <c r="F26" s="853"/>
      <c r="G26" s="853"/>
      <c r="H26" s="853"/>
      <c r="I26" s="854"/>
    </row>
    <row r="27" spans="1:9" ht="11.25">
      <c r="A27" s="892" t="s">
        <v>299</v>
      </c>
      <c r="B27" s="893"/>
      <c r="C27" s="893"/>
      <c r="D27" s="893"/>
      <c r="E27" s="893"/>
      <c r="F27" s="893"/>
      <c r="G27" s="893"/>
      <c r="H27" s="893"/>
      <c r="I27" s="894"/>
    </row>
    <row r="28" spans="1:9" ht="11.25">
      <c r="A28" s="895"/>
      <c r="B28" s="896"/>
      <c r="C28" s="896"/>
      <c r="D28" s="896"/>
      <c r="E28" s="896"/>
      <c r="F28" s="896"/>
      <c r="G28" s="896"/>
      <c r="H28" s="896"/>
      <c r="I28" s="897"/>
    </row>
    <row r="29" spans="1:9" ht="11.25">
      <c r="A29" s="895"/>
      <c r="B29" s="896"/>
      <c r="C29" s="896"/>
      <c r="D29" s="896"/>
      <c r="E29" s="896"/>
      <c r="F29" s="896"/>
      <c r="G29" s="896"/>
      <c r="H29" s="896"/>
      <c r="I29" s="897"/>
    </row>
    <row r="30" spans="1:9" ht="11.25">
      <c r="A30" s="895"/>
      <c r="B30" s="896"/>
      <c r="C30" s="896"/>
      <c r="D30" s="896"/>
      <c r="E30" s="896"/>
      <c r="F30" s="896"/>
      <c r="G30" s="896"/>
      <c r="H30" s="896"/>
      <c r="I30" s="897"/>
    </row>
    <row r="31" spans="1:9" ht="11.25">
      <c r="A31" s="895"/>
      <c r="B31" s="896"/>
      <c r="C31" s="896"/>
      <c r="D31" s="896"/>
      <c r="E31" s="896"/>
      <c r="F31" s="896"/>
      <c r="G31" s="896"/>
      <c r="H31" s="896"/>
      <c r="I31" s="897"/>
    </row>
    <row r="32" spans="1:9" ht="11.25">
      <c r="A32" s="895"/>
      <c r="B32" s="896"/>
      <c r="C32" s="896"/>
      <c r="D32" s="896"/>
      <c r="E32" s="896"/>
      <c r="F32" s="896"/>
      <c r="G32" s="896"/>
      <c r="H32" s="896"/>
      <c r="I32" s="897"/>
    </row>
    <row r="33" spans="1:9" ht="11.25">
      <c r="A33" s="895"/>
      <c r="B33" s="896"/>
      <c r="C33" s="896"/>
      <c r="D33" s="896"/>
      <c r="E33" s="896"/>
      <c r="F33" s="896"/>
      <c r="G33" s="896"/>
      <c r="H33" s="896"/>
      <c r="I33" s="897"/>
    </row>
    <row r="34" spans="1:9" ht="12.75" customHeight="1">
      <c r="A34" s="895"/>
      <c r="B34" s="896"/>
      <c r="C34" s="896"/>
      <c r="D34" s="896"/>
      <c r="E34" s="896"/>
      <c r="F34" s="896"/>
      <c r="G34" s="896"/>
      <c r="H34" s="896"/>
      <c r="I34" s="897"/>
    </row>
    <row r="35" spans="1:9" ht="0.75" customHeight="1">
      <c r="A35" s="898"/>
      <c r="B35" s="899"/>
      <c r="C35" s="899"/>
      <c r="D35" s="899"/>
      <c r="E35" s="899"/>
      <c r="F35" s="899"/>
      <c r="G35" s="899"/>
      <c r="H35" s="899"/>
      <c r="I35" s="900"/>
    </row>
    <row r="36" spans="1:9" ht="10.5" customHeight="1">
      <c r="A36" s="901" t="s">
        <v>89</v>
      </c>
      <c r="B36" s="902"/>
      <c r="C36" s="902"/>
      <c r="D36" s="902"/>
      <c r="E36" s="902"/>
      <c r="F36" s="902"/>
      <c r="G36" s="902"/>
      <c r="H36" s="902"/>
      <c r="I36" s="903"/>
    </row>
    <row r="37" spans="1:10" ht="18" customHeight="1">
      <c r="A37" s="188" t="s">
        <v>184</v>
      </c>
      <c r="B37" s="189"/>
      <c r="C37" s="189"/>
      <c r="D37" s="189"/>
      <c r="E37" s="190"/>
      <c r="F37" s="452"/>
      <c r="G37" s="452"/>
      <c r="H37" s="452"/>
      <c r="I37" s="453"/>
      <c r="J37" s="137"/>
    </row>
    <row r="38" spans="1:10" ht="18" customHeight="1">
      <c r="A38" s="191" t="s">
        <v>183</v>
      </c>
      <c r="B38" s="192"/>
      <c r="C38" s="192"/>
      <c r="D38" s="192"/>
      <c r="E38" s="193"/>
      <c r="F38" s="454"/>
      <c r="G38" s="454"/>
      <c r="H38" s="454"/>
      <c r="I38" s="455"/>
      <c r="J38" s="137"/>
    </row>
    <row r="39" spans="1:10" ht="18" customHeight="1">
      <c r="A39" s="191" t="s">
        <v>300</v>
      </c>
      <c r="B39" s="192"/>
      <c r="C39" s="192"/>
      <c r="D39" s="192"/>
      <c r="E39" s="193"/>
      <c r="F39" s="454"/>
      <c r="G39" s="454"/>
      <c r="H39" s="454"/>
      <c r="I39" s="455"/>
      <c r="J39" s="137"/>
    </row>
    <row r="40" spans="1:10" ht="18" customHeight="1">
      <c r="A40" s="191" t="s">
        <v>301</v>
      </c>
      <c r="B40" s="192"/>
      <c r="C40" s="192"/>
      <c r="D40" s="192"/>
      <c r="E40" s="193"/>
      <c r="F40" s="454"/>
      <c r="G40" s="454"/>
      <c r="H40" s="454"/>
      <c r="I40" s="455"/>
      <c r="J40" s="137"/>
    </row>
    <row r="41" spans="1:10" ht="20.25" customHeight="1">
      <c r="A41" s="1042"/>
      <c r="B41" s="1042"/>
      <c r="C41" s="1042" t="s">
        <v>571</v>
      </c>
      <c r="D41" s="1043"/>
      <c r="E41" s="1043"/>
      <c r="F41" s="1044"/>
      <c r="G41" s="1044"/>
      <c r="H41" s="1044"/>
      <c r="I41" s="1044"/>
      <c r="J41" s="137"/>
    </row>
    <row r="42" spans="1:9" ht="29.25" customHeight="1">
      <c r="A42" s="1045"/>
      <c r="B42" s="1043"/>
      <c r="C42" s="1042" t="s">
        <v>572</v>
      </c>
      <c r="D42" s="1046"/>
      <c r="E42" s="1043"/>
      <c r="F42" s="1043"/>
      <c r="G42" s="1043"/>
      <c r="H42" s="1043"/>
      <c r="I42" s="1043"/>
    </row>
    <row r="43" ht="11.25">
      <c r="C43" s="127" t="s">
        <v>573</v>
      </c>
    </row>
    <row r="44" spans="9:10" ht="11.25">
      <c r="I44" s="138"/>
      <c r="J44" s="140"/>
    </row>
  </sheetData>
  <sheetProtection/>
  <mergeCells count="20">
    <mergeCell ref="G4:I4"/>
    <mergeCell ref="A7:I13"/>
    <mergeCell ref="A2:B2"/>
    <mergeCell ref="C2:D2"/>
    <mergeCell ref="G2:I2"/>
    <mergeCell ref="A3:B3"/>
    <mergeCell ref="C3:D3"/>
    <mergeCell ref="G3:I3"/>
    <mergeCell ref="E2:F2"/>
    <mergeCell ref="E3:F3"/>
    <mergeCell ref="A27:I35"/>
    <mergeCell ref="A36:I36"/>
    <mergeCell ref="A26:I26"/>
    <mergeCell ref="A1:I1"/>
    <mergeCell ref="A15:I25"/>
    <mergeCell ref="A5:B5"/>
    <mergeCell ref="C5:I5"/>
    <mergeCell ref="A6:I6"/>
    <mergeCell ref="A14:I14"/>
    <mergeCell ref="A4:B4"/>
  </mergeCells>
  <printOptions gridLines="1" horizontalCentered="1"/>
  <pageMargins left="0.7874015748031497" right="0.7874015748031497" top="1.7716535433070868" bottom="0.98425196850393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06">
      <selection activeCell="C123" sqref="C123"/>
    </sheetView>
  </sheetViews>
  <sheetFormatPr defaultColWidth="9.140625" defaultRowHeight="12.75"/>
  <cols>
    <col min="1" max="1" width="5.7109375" style="74" customWidth="1"/>
    <col min="2" max="2" width="8.140625" style="489" customWidth="1"/>
    <col min="3" max="3" width="48.28125" style="74" customWidth="1"/>
    <col min="4" max="4" width="7.57421875" style="74" customWidth="1"/>
    <col min="5" max="5" width="7.00390625" style="75" customWidth="1"/>
    <col min="6" max="6" width="9.00390625" style="75" customWidth="1"/>
    <col min="7" max="7" width="0.2890625" style="75" hidden="1" customWidth="1"/>
    <col min="8" max="8" width="11.00390625" style="75" customWidth="1"/>
    <col min="9" max="9" width="13.00390625" style="75" customWidth="1"/>
    <col min="10" max="10" width="0.9921875" style="76" hidden="1" customWidth="1"/>
    <col min="11" max="11" width="11.140625" style="361" customWidth="1"/>
    <col min="12" max="12" width="12.57421875" style="76" customWidth="1"/>
    <col min="13" max="13" width="13.421875" style="75" customWidth="1"/>
    <col min="14" max="16384" width="9.140625" style="73" customWidth="1"/>
  </cols>
  <sheetData>
    <row r="1" spans="1:13" ht="12.75">
      <c r="A1" s="424"/>
      <c r="B1" s="474"/>
      <c r="C1" s="425"/>
      <c r="D1" s="425"/>
      <c r="E1" s="426"/>
      <c r="F1" s="426"/>
      <c r="G1" s="426"/>
      <c r="H1" s="426"/>
      <c r="I1" s="426"/>
      <c r="J1" s="427"/>
      <c r="K1" s="428"/>
      <c r="L1" s="427"/>
      <c r="M1" s="429"/>
    </row>
    <row r="2" spans="1:13" ht="15.75">
      <c r="A2" s="407"/>
      <c r="B2" s="476"/>
      <c r="C2" s="359"/>
      <c r="D2" s="359"/>
      <c r="E2" s="201"/>
      <c r="F2" s="423" t="s">
        <v>196</v>
      </c>
      <c r="G2" s="201"/>
      <c r="H2" s="201"/>
      <c r="I2" s="201"/>
      <c r="J2" s="269"/>
      <c r="K2" s="270"/>
      <c r="L2" s="269"/>
      <c r="M2" s="430"/>
    </row>
    <row r="3" spans="1:13" ht="14.25" customHeight="1">
      <c r="A3" s="422"/>
      <c r="B3" s="477"/>
      <c r="C3" s="406"/>
      <c r="D3" s="406"/>
      <c r="E3" s="406"/>
      <c r="F3" s="431" t="s">
        <v>285</v>
      </c>
      <c r="G3" s="406"/>
      <c r="H3" s="406"/>
      <c r="I3" s="406"/>
      <c r="J3" s="406"/>
      <c r="K3" s="406"/>
      <c r="L3" s="406"/>
      <c r="M3" s="413"/>
    </row>
    <row r="4" spans="1:13" ht="19.5" customHeight="1">
      <c r="A4" s="407" t="s">
        <v>121</v>
      </c>
      <c r="B4" s="476"/>
      <c r="C4" s="198" t="s">
        <v>122</v>
      </c>
      <c r="D4" s="410"/>
      <c r="E4" s="411"/>
      <c r="F4" s="411"/>
      <c r="G4" s="201"/>
      <c r="H4" s="412"/>
      <c r="I4" s="201"/>
      <c r="J4" s="269"/>
      <c r="K4" s="270"/>
      <c r="L4" s="269"/>
      <c r="M4" s="408"/>
    </row>
    <row r="5" spans="1:13" s="157" customFormat="1" ht="15" customHeight="1">
      <c r="A5" s="407" t="s">
        <v>123</v>
      </c>
      <c r="B5" s="476"/>
      <c r="C5" s="198" t="s">
        <v>197</v>
      </c>
      <c r="D5" s="199"/>
      <c r="E5" s="200"/>
      <c r="F5" s="200"/>
      <c r="G5" s="201"/>
      <c r="H5" s="201"/>
      <c r="I5" s="201"/>
      <c r="J5" s="269"/>
      <c r="K5" s="270"/>
      <c r="L5" s="269"/>
      <c r="M5" s="408"/>
    </row>
    <row r="6" spans="1:13" s="157" customFormat="1" ht="15" customHeight="1">
      <c r="A6" s="407" t="s">
        <v>198</v>
      </c>
      <c r="B6" s="476"/>
      <c r="C6" s="198"/>
      <c r="D6" s="199"/>
      <c r="E6" s="200"/>
      <c r="F6" s="200"/>
      <c r="G6" s="201"/>
      <c r="H6" s="201"/>
      <c r="I6" s="201"/>
      <c r="J6" s="269"/>
      <c r="K6" s="270"/>
      <c r="L6" s="269"/>
      <c r="M6" s="408"/>
    </row>
    <row r="7" spans="1:13" s="157" customFormat="1" ht="15" customHeight="1" thickBot="1">
      <c r="A7" s="420" t="s">
        <v>329</v>
      </c>
      <c r="B7" s="478"/>
      <c r="C7" s="421"/>
      <c r="D7" s="414"/>
      <c r="E7" s="415"/>
      <c r="F7" s="415"/>
      <c r="G7" s="416"/>
      <c r="H7" s="416"/>
      <c r="I7" s="416"/>
      <c r="J7" s="417"/>
      <c r="K7" s="418"/>
      <c r="L7" s="417"/>
      <c r="M7" s="419"/>
    </row>
    <row r="8" spans="1:13" s="157" customFormat="1" ht="1.5" customHeight="1" thickBot="1">
      <c r="A8" s="158"/>
      <c r="B8" s="471"/>
      <c r="C8" s="159"/>
      <c r="D8" s="159"/>
      <c r="E8" s="160"/>
      <c r="F8" s="160"/>
      <c r="G8" s="160"/>
      <c r="H8" s="160"/>
      <c r="I8" s="160"/>
      <c r="J8" s="161"/>
      <c r="K8" s="272"/>
      <c r="L8" s="161"/>
      <c r="M8" s="409"/>
    </row>
    <row r="9" spans="1:13" s="162" customFormat="1" ht="15" customHeight="1">
      <c r="A9" s="504" t="s">
        <v>57</v>
      </c>
      <c r="B9" s="463" t="s">
        <v>436</v>
      </c>
      <c r="C9" s="985" t="s">
        <v>16</v>
      </c>
      <c r="D9" s="987" t="s">
        <v>124</v>
      </c>
      <c r="E9" s="989" t="s">
        <v>125</v>
      </c>
      <c r="F9" s="983" t="s">
        <v>126</v>
      </c>
      <c r="G9" s="984"/>
      <c r="H9" s="983" t="s">
        <v>127</v>
      </c>
      <c r="I9" s="984"/>
      <c r="J9" s="505"/>
      <c r="K9" s="505"/>
      <c r="L9" s="505"/>
      <c r="M9" s="506" t="s">
        <v>128</v>
      </c>
    </row>
    <row r="10" spans="1:13" s="163" customFormat="1" ht="15.75" customHeight="1" thickBot="1">
      <c r="A10" s="507"/>
      <c r="B10" s="464"/>
      <c r="C10" s="986"/>
      <c r="D10" s="988"/>
      <c r="E10" s="990"/>
      <c r="F10" s="274" t="s">
        <v>129</v>
      </c>
      <c r="G10" s="275" t="s">
        <v>130</v>
      </c>
      <c r="H10" s="274" t="s">
        <v>129</v>
      </c>
      <c r="I10" s="275" t="s">
        <v>130</v>
      </c>
      <c r="J10" s="276"/>
      <c r="K10" s="276"/>
      <c r="L10" s="276"/>
      <c r="M10" s="508" t="s">
        <v>82</v>
      </c>
    </row>
    <row r="11" spans="1:13" s="163" customFormat="1" ht="11.25" customHeight="1">
      <c r="A11" s="509" t="s">
        <v>131</v>
      </c>
      <c r="B11" s="465"/>
      <c r="C11" s="277" t="s">
        <v>199</v>
      </c>
      <c r="D11" s="277" t="s">
        <v>132</v>
      </c>
      <c r="E11" s="278">
        <v>1</v>
      </c>
      <c r="F11" s="278"/>
      <c r="G11" s="278">
        <f>F11*E11</f>
        <v>0</v>
      </c>
      <c r="H11" s="279">
        <f>'ANEXO III'!K65</f>
        <v>101.41</v>
      </c>
      <c r="I11" s="278">
        <f>TRUNC(E11*H11,2)</f>
        <v>101.41</v>
      </c>
      <c r="J11" s="280"/>
      <c r="K11" s="281"/>
      <c r="L11" s="280"/>
      <c r="M11" s="510">
        <f>TRUNC(G11+I11,2)</f>
        <v>101.41</v>
      </c>
    </row>
    <row r="12" spans="1:13" s="163" customFormat="1" ht="16.5" customHeight="1" thickBot="1">
      <c r="A12" s="511"/>
      <c r="B12" s="479"/>
      <c r="C12" s="282"/>
      <c r="D12" s="282"/>
      <c r="E12" s="283"/>
      <c r="F12" s="283"/>
      <c r="G12" s="283"/>
      <c r="H12" s="283"/>
      <c r="I12" s="283"/>
      <c r="J12" s="284"/>
      <c r="K12" s="285"/>
      <c r="L12" s="284"/>
      <c r="M12" s="512"/>
    </row>
    <row r="13" spans="1:13" ht="15" customHeight="1">
      <c r="A13" s="504" t="s">
        <v>57</v>
      </c>
      <c r="B13" s="463"/>
      <c r="C13" s="985" t="s">
        <v>133</v>
      </c>
      <c r="D13" s="987" t="s">
        <v>124</v>
      </c>
      <c r="E13" s="991" t="s">
        <v>134</v>
      </c>
      <c r="F13" s="993" t="s">
        <v>135</v>
      </c>
      <c r="G13" s="994"/>
      <c r="H13" s="997" t="s">
        <v>136</v>
      </c>
      <c r="I13" s="998"/>
      <c r="J13" s="978" t="s">
        <v>137</v>
      </c>
      <c r="K13" s="978" t="s">
        <v>126</v>
      </c>
      <c r="L13" s="978" t="s">
        <v>200</v>
      </c>
      <c r="M13" s="513" t="s">
        <v>128</v>
      </c>
    </row>
    <row r="14" spans="1:13" s="164" customFormat="1" ht="21" customHeight="1" thickBot="1">
      <c r="A14" s="507"/>
      <c r="B14" s="464"/>
      <c r="C14" s="986"/>
      <c r="D14" s="988"/>
      <c r="E14" s="992"/>
      <c r="F14" s="995"/>
      <c r="G14" s="996"/>
      <c r="H14" s="999"/>
      <c r="I14" s="1000"/>
      <c r="J14" s="979"/>
      <c r="K14" s="980"/>
      <c r="L14" s="979"/>
      <c r="M14" s="514" t="s">
        <v>82</v>
      </c>
    </row>
    <row r="15" spans="1:13" ht="10.5" customHeight="1">
      <c r="A15" s="515" t="s">
        <v>201</v>
      </c>
      <c r="B15" s="466"/>
      <c r="C15" s="981" t="s">
        <v>202</v>
      </c>
      <c r="D15" s="982"/>
      <c r="E15" s="982"/>
      <c r="F15" s="982"/>
      <c r="G15" s="982"/>
      <c r="H15" s="982"/>
      <c r="I15" s="982"/>
      <c r="J15" s="982"/>
      <c r="K15" s="982"/>
      <c r="L15" s="982"/>
      <c r="M15" s="982"/>
    </row>
    <row r="16" spans="1:13" s="165" customFormat="1" ht="26.25" customHeight="1">
      <c r="A16" s="516" t="s">
        <v>138</v>
      </c>
      <c r="B16" s="467"/>
      <c r="C16" s="517" t="s">
        <v>203</v>
      </c>
      <c r="D16" s="518" t="s">
        <v>139</v>
      </c>
      <c r="E16" s="519" t="s">
        <v>132</v>
      </c>
      <c r="F16" s="951" t="s">
        <v>140</v>
      </c>
      <c r="G16" s="952"/>
      <c r="H16" s="951" t="s">
        <v>204</v>
      </c>
      <c r="I16" s="952"/>
      <c r="J16" s="520" t="s">
        <v>141</v>
      </c>
      <c r="K16" s="521" t="s">
        <v>30</v>
      </c>
      <c r="L16" s="520" t="s">
        <v>205</v>
      </c>
      <c r="M16" s="522" t="s">
        <v>142</v>
      </c>
    </row>
    <row r="17" spans="1:13" s="165" customFormat="1" ht="30" customHeight="1">
      <c r="A17" s="523" t="s">
        <v>206</v>
      </c>
      <c r="B17" s="480"/>
      <c r="C17" s="524" t="s">
        <v>143</v>
      </c>
      <c r="D17" s="525" t="s">
        <v>144</v>
      </c>
      <c r="E17" s="526">
        <f>I11</f>
        <v>101.41</v>
      </c>
      <c r="F17" s="945">
        <v>7000</v>
      </c>
      <c r="G17" s="946"/>
      <c r="H17" s="945">
        <f aca="true" t="shared" si="0" ref="H17:H22">TRUNC(E17*F17,2)</f>
        <v>709870</v>
      </c>
      <c r="I17" s="946"/>
      <c r="J17" s="527" t="e">
        <f>TRUNC(#REF!*F17,2)</f>
        <v>#REF!</v>
      </c>
      <c r="K17" s="528"/>
      <c r="L17" s="527">
        <f aca="true" t="shared" si="1" ref="L17:L22">TRUNC((F17*K17),2)</f>
        <v>0</v>
      </c>
      <c r="M17" s="529">
        <f>H17+L17</f>
        <v>709870</v>
      </c>
    </row>
    <row r="18" spans="1:13" s="165" customFormat="1" ht="35.25" customHeight="1">
      <c r="A18" s="523" t="s">
        <v>207</v>
      </c>
      <c r="B18" s="480" t="s">
        <v>439</v>
      </c>
      <c r="C18" s="524" t="s">
        <v>208</v>
      </c>
      <c r="D18" s="525" t="s">
        <v>144</v>
      </c>
      <c r="E18" s="526"/>
      <c r="F18" s="945">
        <v>2700</v>
      </c>
      <c r="G18" s="946"/>
      <c r="H18" s="945">
        <f t="shared" si="0"/>
        <v>0</v>
      </c>
      <c r="I18" s="946"/>
      <c r="J18" s="527"/>
      <c r="K18" s="528">
        <v>17.58</v>
      </c>
      <c r="L18" s="527">
        <f t="shared" si="1"/>
        <v>47466</v>
      </c>
      <c r="M18" s="529">
        <f>L18</f>
        <v>47466</v>
      </c>
    </row>
    <row r="19" spans="1:13" s="165" customFormat="1" ht="25.5" customHeight="1">
      <c r="A19" s="523" t="s">
        <v>209</v>
      </c>
      <c r="B19" s="480" t="s">
        <v>439</v>
      </c>
      <c r="C19" s="524" t="s">
        <v>210</v>
      </c>
      <c r="D19" s="525" t="s">
        <v>144</v>
      </c>
      <c r="E19" s="526"/>
      <c r="F19" s="945">
        <v>980</v>
      </c>
      <c r="G19" s="946"/>
      <c r="H19" s="945">
        <f t="shared" si="0"/>
        <v>0</v>
      </c>
      <c r="I19" s="946"/>
      <c r="J19" s="527"/>
      <c r="K19" s="528">
        <v>41.21</v>
      </c>
      <c r="L19" s="527">
        <f t="shared" si="1"/>
        <v>40385.8</v>
      </c>
      <c r="M19" s="529">
        <f>L19</f>
        <v>40385.8</v>
      </c>
    </row>
    <row r="20" spans="1:13" s="165" customFormat="1" ht="27.75" customHeight="1">
      <c r="A20" s="523" t="s">
        <v>211</v>
      </c>
      <c r="B20" s="480" t="s">
        <v>338</v>
      </c>
      <c r="C20" s="524" t="s">
        <v>212</v>
      </c>
      <c r="D20" s="525" t="s">
        <v>144</v>
      </c>
      <c r="E20" s="526"/>
      <c r="F20" s="945">
        <v>2900</v>
      </c>
      <c r="G20" s="946"/>
      <c r="H20" s="945">
        <f t="shared" si="0"/>
        <v>0</v>
      </c>
      <c r="I20" s="946"/>
      <c r="J20" s="527"/>
      <c r="K20" s="528">
        <v>28.63</v>
      </c>
      <c r="L20" s="527">
        <f t="shared" si="1"/>
        <v>83027</v>
      </c>
      <c r="M20" s="529">
        <f>L20</f>
        <v>83027</v>
      </c>
    </row>
    <row r="21" spans="1:13" s="165" customFormat="1" ht="23.25" customHeight="1">
      <c r="A21" s="523" t="s">
        <v>190</v>
      </c>
      <c r="B21" s="480" t="s">
        <v>335</v>
      </c>
      <c r="C21" s="524" t="s">
        <v>213</v>
      </c>
      <c r="D21" s="525" t="s">
        <v>144</v>
      </c>
      <c r="E21" s="526"/>
      <c r="F21" s="945">
        <v>300</v>
      </c>
      <c r="G21" s="946"/>
      <c r="H21" s="945">
        <f t="shared" si="0"/>
        <v>0</v>
      </c>
      <c r="I21" s="946"/>
      <c r="J21" s="527"/>
      <c r="K21" s="528">
        <v>31.47</v>
      </c>
      <c r="L21" s="527">
        <f t="shared" si="1"/>
        <v>9441</v>
      </c>
      <c r="M21" s="529">
        <f>L21</f>
        <v>9441</v>
      </c>
    </row>
    <row r="22" spans="1:13" s="165" customFormat="1" ht="22.5" customHeight="1">
      <c r="A22" s="523" t="s">
        <v>191</v>
      </c>
      <c r="B22" s="480" t="s">
        <v>439</v>
      </c>
      <c r="C22" s="524" t="s">
        <v>214</v>
      </c>
      <c r="D22" s="525" t="s">
        <v>144</v>
      </c>
      <c r="E22" s="526"/>
      <c r="F22" s="945">
        <v>105</v>
      </c>
      <c r="G22" s="946"/>
      <c r="H22" s="945">
        <f t="shared" si="0"/>
        <v>0</v>
      </c>
      <c r="I22" s="946"/>
      <c r="J22" s="527"/>
      <c r="K22" s="528">
        <v>85.68</v>
      </c>
      <c r="L22" s="527">
        <f t="shared" si="1"/>
        <v>8996.4</v>
      </c>
      <c r="M22" s="529">
        <f>L22</f>
        <v>8996.4</v>
      </c>
    </row>
    <row r="23" spans="1:13" s="165" customFormat="1" ht="18.75" customHeight="1">
      <c r="A23" s="530"/>
      <c r="B23" s="481"/>
      <c r="C23" s="531"/>
      <c r="D23" s="532"/>
      <c r="E23" s="533"/>
      <c r="F23" s="974"/>
      <c r="G23" s="975"/>
      <c r="H23" s="976">
        <f>SUM(H17:I22)</f>
        <v>709870</v>
      </c>
      <c r="I23" s="977"/>
      <c r="J23" s="534" t="e">
        <f>SUM(J17:J22)</f>
        <v>#REF!</v>
      </c>
      <c r="K23" s="535"/>
      <c r="L23" s="536">
        <f>SUM(L17:L22)</f>
        <v>189316.19999999998</v>
      </c>
      <c r="M23" s="537">
        <f>SUM(M17:M22)</f>
        <v>899186.2000000001</v>
      </c>
    </row>
    <row r="24" spans="1:13" s="165" customFormat="1" ht="42" customHeight="1">
      <c r="A24" s="538" t="s">
        <v>215</v>
      </c>
      <c r="B24" s="468"/>
      <c r="C24" s="458" t="s">
        <v>216</v>
      </c>
      <c r="D24" s="518" t="s">
        <v>139</v>
      </c>
      <c r="E24" s="519" t="s">
        <v>132</v>
      </c>
      <c r="F24" s="951" t="s">
        <v>140</v>
      </c>
      <c r="G24" s="952"/>
      <c r="H24" s="951" t="s">
        <v>204</v>
      </c>
      <c r="I24" s="952"/>
      <c r="J24" s="520" t="s">
        <v>141</v>
      </c>
      <c r="K24" s="521" t="s">
        <v>217</v>
      </c>
      <c r="L24" s="520" t="s">
        <v>205</v>
      </c>
      <c r="M24" s="522" t="s">
        <v>142</v>
      </c>
    </row>
    <row r="25" spans="1:13" s="165" customFormat="1" ht="27" customHeight="1">
      <c r="A25" s="523" t="s">
        <v>206</v>
      </c>
      <c r="B25" s="480"/>
      <c r="C25" s="524" t="s">
        <v>143</v>
      </c>
      <c r="D25" s="525" t="s">
        <v>144</v>
      </c>
      <c r="E25" s="526">
        <v>101.41</v>
      </c>
      <c r="F25" s="945">
        <v>1500</v>
      </c>
      <c r="G25" s="946"/>
      <c r="H25" s="945">
        <f>TRUNC(E25*F25,2)</f>
        <v>152115</v>
      </c>
      <c r="I25" s="946"/>
      <c r="J25" s="527" t="e">
        <f>TRUNC(#REF!*F25,2)</f>
        <v>#REF!</v>
      </c>
      <c r="K25" s="528">
        <v>0</v>
      </c>
      <c r="L25" s="527">
        <f>TRUNC((F25*K25),2)</f>
        <v>0</v>
      </c>
      <c r="M25" s="529">
        <f>H25+L25</f>
        <v>152115</v>
      </c>
    </row>
    <row r="26" spans="1:13" s="165" customFormat="1" ht="36.75" customHeight="1">
      <c r="A26" s="523" t="s">
        <v>207</v>
      </c>
      <c r="B26" s="480" t="s">
        <v>334</v>
      </c>
      <c r="C26" s="524" t="s">
        <v>218</v>
      </c>
      <c r="D26" s="525" t="s">
        <v>144</v>
      </c>
      <c r="E26" s="526"/>
      <c r="F26" s="968">
        <v>300</v>
      </c>
      <c r="G26" s="969"/>
      <c r="H26" s="968">
        <f>TRUNC(E26*F26,2)</f>
        <v>0</v>
      </c>
      <c r="I26" s="969"/>
      <c r="J26" s="527"/>
      <c r="K26" s="528">
        <v>35.73</v>
      </c>
      <c r="L26" s="527">
        <f>TRUNC((F26*K26),2)</f>
        <v>10719</v>
      </c>
      <c r="M26" s="529">
        <f>L26</f>
        <v>10719</v>
      </c>
    </row>
    <row r="27" spans="1:13" s="165" customFormat="1" ht="28.5" customHeight="1">
      <c r="A27" s="523" t="s">
        <v>209</v>
      </c>
      <c r="B27" s="480" t="s">
        <v>439</v>
      </c>
      <c r="C27" s="524" t="s">
        <v>302</v>
      </c>
      <c r="D27" s="525" t="s">
        <v>144</v>
      </c>
      <c r="E27" s="526"/>
      <c r="F27" s="945">
        <v>800</v>
      </c>
      <c r="G27" s="946"/>
      <c r="H27" s="539"/>
      <c r="I27" s="459"/>
      <c r="J27" s="540"/>
      <c r="K27" s="528">
        <v>31.41</v>
      </c>
      <c r="L27" s="527">
        <f>TRUNC((F27*K27),2)</f>
        <v>25128</v>
      </c>
      <c r="M27" s="529">
        <f>L27</f>
        <v>25128</v>
      </c>
    </row>
    <row r="28" spans="1:13" s="165" customFormat="1" ht="23.25" customHeight="1">
      <c r="A28" s="541" t="s">
        <v>211</v>
      </c>
      <c r="B28" s="482" t="s">
        <v>333</v>
      </c>
      <c r="C28" s="325" t="s">
        <v>219</v>
      </c>
      <c r="D28" s="542" t="s">
        <v>144</v>
      </c>
      <c r="E28" s="543"/>
      <c r="F28" s="945">
        <v>500</v>
      </c>
      <c r="G28" s="946"/>
      <c r="H28" s="968">
        <f>TRUNC(E28*F28,2)</f>
        <v>0</v>
      </c>
      <c r="I28" s="969"/>
      <c r="J28" s="544"/>
      <c r="K28" s="545">
        <v>129.58</v>
      </c>
      <c r="L28" s="527">
        <f>TRUNC((F28*K28),2)</f>
        <v>64790</v>
      </c>
      <c r="M28" s="529">
        <f>L28</f>
        <v>64790</v>
      </c>
    </row>
    <row r="29" spans="1:13" s="165" customFormat="1" ht="23.25" customHeight="1">
      <c r="A29" s="546" t="s">
        <v>190</v>
      </c>
      <c r="B29" s="482" t="s">
        <v>439</v>
      </c>
      <c r="C29" s="325" t="s">
        <v>303</v>
      </c>
      <c r="D29" s="542" t="s">
        <v>144</v>
      </c>
      <c r="E29" s="543"/>
      <c r="F29" s="949">
        <v>500</v>
      </c>
      <c r="G29" s="950"/>
      <c r="H29" s="539"/>
      <c r="I29" s="459"/>
      <c r="J29" s="547"/>
      <c r="K29" s="548">
        <v>75.15</v>
      </c>
      <c r="L29" s="527">
        <f>TRUNC((F29*K29),2)</f>
        <v>37575</v>
      </c>
      <c r="M29" s="529">
        <f>L29</f>
        <v>37575</v>
      </c>
    </row>
    <row r="30" spans="1:13" s="165" customFormat="1" ht="12.75">
      <c r="A30" s="549"/>
      <c r="B30" s="483"/>
      <c r="C30" s="550"/>
      <c r="D30" s="551"/>
      <c r="E30" s="552"/>
      <c r="F30" s="970"/>
      <c r="G30" s="971"/>
      <c r="H30" s="972">
        <f>SUM(H25:I28)</f>
        <v>152115</v>
      </c>
      <c r="I30" s="973"/>
      <c r="J30" s="553" t="e">
        <f>SUM(J25:J28)</f>
        <v>#REF!</v>
      </c>
      <c r="K30" s="554"/>
      <c r="L30" s="555">
        <f>SUM(L26:L29)</f>
        <v>138212</v>
      </c>
      <c r="M30" s="318">
        <f>SUM(M25:M29)</f>
        <v>290327</v>
      </c>
    </row>
    <row r="31" spans="1:13" s="165" customFormat="1" ht="12.75">
      <c r="A31" s="546"/>
      <c r="B31" s="482"/>
      <c r="C31" s="556"/>
      <c r="D31" s="557"/>
      <c r="E31" s="558"/>
      <c r="F31" s="559"/>
      <c r="G31" s="456"/>
      <c r="H31" s="560"/>
      <c r="I31" s="457"/>
      <c r="J31" s="561"/>
      <c r="K31" s="562"/>
      <c r="L31" s="562"/>
      <c r="M31" s="563"/>
    </row>
    <row r="32" spans="1:13" s="165" customFormat="1" ht="46.5" customHeight="1">
      <c r="A32" s="564" t="s">
        <v>233</v>
      </c>
      <c r="B32" s="468"/>
      <c r="C32" s="458" t="s">
        <v>308</v>
      </c>
      <c r="D32" s="518" t="s">
        <v>139</v>
      </c>
      <c r="E32" s="519" t="s">
        <v>132</v>
      </c>
      <c r="F32" s="951" t="s">
        <v>140</v>
      </c>
      <c r="G32" s="952"/>
      <c r="H32" s="951" t="s">
        <v>204</v>
      </c>
      <c r="I32" s="952"/>
      <c r="J32" s="520" t="s">
        <v>141</v>
      </c>
      <c r="K32" s="521" t="s">
        <v>217</v>
      </c>
      <c r="L32" s="520" t="s">
        <v>205</v>
      </c>
      <c r="M32" s="565" t="s">
        <v>142</v>
      </c>
    </row>
    <row r="33" spans="1:13" s="165" customFormat="1" ht="25.5">
      <c r="A33" s="566" t="s">
        <v>206</v>
      </c>
      <c r="B33" s="480"/>
      <c r="C33" s="524" t="s">
        <v>143</v>
      </c>
      <c r="D33" s="525" t="s">
        <v>144</v>
      </c>
      <c r="E33" s="526">
        <v>101.41</v>
      </c>
      <c r="F33" s="945">
        <v>950</v>
      </c>
      <c r="G33" s="946"/>
      <c r="H33" s="945">
        <f>TRUNC(E33*F33,2)</f>
        <v>96339.5</v>
      </c>
      <c r="I33" s="946"/>
      <c r="J33" s="527" t="e">
        <f>TRUNC(#REF!*F33,2)</f>
        <v>#REF!</v>
      </c>
      <c r="K33" s="528">
        <v>0</v>
      </c>
      <c r="L33" s="527">
        <f>TRUNC((F33*K33),2)</f>
        <v>0</v>
      </c>
      <c r="M33" s="567">
        <f>H33+L33</f>
        <v>96339.5</v>
      </c>
    </row>
    <row r="34" spans="1:13" s="165" customFormat="1" ht="25.5">
      <c r="A34" s="566" t="s">
        <v>207</v>
      </c>
      <c r="B34" s="480" t="s">
        <v>505</v>
      </c>
      <c r="C34" s="524" t="s">
        <v>304</v>
      </c>
      <c r="D34" s="525" t="s">
        <v>144</v>
      </c>
      <c r="E34" s="526"/>
      <c r="F34" s="945">
        <v>150</v>
      </c>
      <c r="G34" s="946"/>
      <c r="H34" s="945">
        <f>TRUNC(E34*F34,2)</f>
        <v>0</v>
      </c>
      <c r="I34" s="946"/>
      <c r="J34" s="527"/>
      <c r="K34" s="528">
        <v>40.96</v>
      </c>
      <c r="L34" s="527">
        <f>TRUNC((F34*K34),2)</f>
        <v>6144</v>
      </c>
      <c r="M34" s="567">
        <f>L34</f>
        <v>6144</v>
      </c>
    </row>
    <row r="35" spans="1:13" s="165" customFormat="1" ht="25.5">
      <c r="A35" s="566" t="s">
        <v>209</v>
      </c>
      <c r="B35" s="480" t="s">
        <v>330</v>
      </c>
      <c r="C35" s="524" t="s">
        <v>305</v>
      </c>
      <c r="D35" s="525" t="s">
        <v>144</v>
      </c>
      <c r="E35" s="526"/>
      <c r="F35" s="945">
        <v>600</v>
      </c>
      <c r="G35" s="946"/>
      <c r="H35" s="945">
        <f>TRUNC(E35*F35,2)</f>
        <v>0</v>
      </c>
      <c r="I35" s="946"/>
      <c r="J35" s="527"/>
      <c r="K35" s="528">
        <v>61.69</v>
      </c>
      <c r="L35" s="527">
        <f>TRUNC((F35*K35),2)</f>
        <v>37014</v>
      </c>
      <c r="M35" s="567">
        <f>L35</f>
        <v>37014</v>
      </c>
    </row>
    <row r="36" spans="1:13" s="165" customFormat="1" ht="25.5">
      <c r="A36" s="324" t="s">
        <v>190</v>
      </c>
      <c r="B36" s="482" t="s">
        <v>439</v>
      </c>
      <c r="C36" s="325" t="s">
        <v>306</v>
      </c>
      <c r="D36" s="568" t="s">
        <v>180</v>
      </c>
      <c r="E36" s="526"/>
      <c r="F36" s="945">
        <v>120</v>
      </c>
      <c r="G36" s="946"/>
      <c r="H36" s="947"/>
      <c r="I36" s="948"/>
      <c r="J36" s="569"/>
      <c r="K36" s="570">
        <v>99.35</v>
      </c>
      <c r="L36" s="527">
        <f>TRUNC((F36*K36),2)</f>
        <v>11922</v>
      </c>
      <c r="M36" s="567">
        <f>L36</f>
        <v>11922</v>
      </c>
    </row>
    <row r="37" spans="1:13" s="165" customFormat="1" ht="25.5">
      <c r="A37" s="324" t="s">
        <v>191</v>
      </c>
      <c r="B37" s="482" t="s">
        <v>439</v>
      </c>
      <c r="C37" s="325" t="s">
        <v>307</v>
      </c>
      <c r="D37" s="571" t="s">
        <v>180</v>
      </c>
      <c r="E37" s="572"/>
      <c r="F37" s="941">
        <v>280</v>
      </c>
      <c r="G37" s="942"/>
      <c r="H37" s="573"/>
      <c r="I37" s="498"/>
      <c r="J37" s="574"/>
      <c r="K37" s="535">
        <v>83.41</v>
      </c>
      <c r="L37" s="527">
        <f>TRUNC((F37*K37),2)</f>
        <v>23354.8</v>
      </c>
      <c r="M37" s="567">
        <f>L37</f>
        <v>23354.8</v>
      </c>
    </row>
    <row r="38" spans="1:13" s="165" customFormat="1" ht="12.75">
      <c r="A38" s="575"/>
      <c r="B38" s="499"/>
      <c r="C38" s="576"/>
      <c r="D38" s="577"/>
      <c r="E38" s="578"/>
      <c r="F38" s="579"/>
      <c r="G38" s="580"/>
      <c r="H38" s="581"/>
      <c r="I38" s="500"/>
      <c r="J38" s="561"/>
      <c r="K38" s="582"/>
      <c r="L38" s="937">
        <f>SUM(L33:L37)</f>
        <v>78434.8</v>
      </c>
      <c r="M38" s="939">
        <f>SUM(M33:M37)</f>
        <v>174774.3</v>
      </c>
    </row>
    <row r="39" spans="1:13" ht="11.25" customHeight="1">
      <c r="A39" s="583"/>
      <c r="B39" s="501"/>
      <c r="C39" s="585"/>
      <c r="D39" s="584"/>
      <c r="E39" s="586"/>
      <c r="F39" s="587"/>
      <c r="G39" s="587"/>
      <c r="H39" s="587"/>
      <c r="I39" s="588">
        <f>H33</f>
        <v>96339.5</v>
      </c>
      <c r="J39" s="589"/>
      <c r="K39" s="590"/>
      <c r="L39" s="938"/>
      <c r="M39" s="940"/>
    </row>
    <row r="40" spans="1:13" ht="15" customHeight="1" thickBot="1">
      <c r="A40" s="591"/>
      <c r="B40" s="469"/>
      <c r="C40" s="592" t="s">
        <v>147</v>
      </c>
      <c r="D40" s="593"/>
      <c r="E40" s="594"/>
      <c r="F40" s="594"/>
      <c r="G40" s="594"/>
      <c r="H40" s="943">
        <f>I39+H30++H23</f>
        <v>958324.5</v>
      </c>
      <c r="I40" s="944"/>
      <c r="J40" s="595" t="e">
        <f>J23+J30</f>
        <v>#REF!</v>
      </c>
      <c r="K40" s="596"/>
      <c r="L40" s="405"/>
      <c r="M40" s="597"/>
    </row>
    <row r="41" spans="1:13" ht="14.25" customHeight="1" thickBot="1">
      <c r="A41" s="591"/>
      <c r="B41" s="469"/>
      <c r="C41" s="598" t="s">
        <v>179</v>
      </c>
      <c r="D41" s="599"/>
      <c r="E41" s="600"/>
      <c r="F41" s="601"/>
      <c r="G41" s="594"/>
      <c r="H41" s="966"/>
      <c r="I41" s="967"/>
      <c r="J41" s="490"/>
      <c r="K41" s="602"/>
      <c r="L41" s="603">
        <f>L38+L30+L23</f>
        <v>405963</v>
      </c>
      <c r="M41" s="604"/>
    </row>
    <row r="42" spans="1:13" ht="13.5" customHeight="1" thickBot="1">
      <c r="A42" s="591"/>
      <c r="B42" s="469"/>
      <c r="C42" s="598" t="s">
        <v>220</v>
      </c>
      <c r="D42" s="599"/>
      <c r="E42" s="600"/>
      <c r="F42" s="601"/>
      <c r="G42" s="594"/>
      <c r="H42" s="605"/>
      <c r="I42" s="273"/>
      <c r="J42" s="606"/>
      <c r="K42" s="602"/>
      <c r="L42" s="607"/>
      <c r="M42" s="608">
        <f>M38+M30+M23</f>
        <v>1364287.5</v>
      </c>
    </row>
    <row r="43" spans="1:13" ht="13.5" customHeight="1">
      <c r="A43" s="609"/>
      <c r="B43" s="470"/>
      <c r="C43" s="610"/>
      <c r="D43" s="611"/>
      <c r="E43" s="612"/>
      <c r="F43" s="601"/>
      <c r="G43" s="601"/>
      <c r="H43" s="613"/>
      <c r="I43" s="405"/>
      <c r="J43" s="273"/>
      <c r="K43" s="614"/>
      <c r="L43" s="615"/>
      <c r="M43" s="616"/>
    </row>
    <row r="44" spans="1:13" ht="12.75" customHeight="1">
      <c r="A44" s="286" t="s">
        <v>445</v>
      </c>
      <c r="B44" s="472"/>
      <c r="C44" s="857" t="s">
        <v>202</v>
      </c>
      <c r="D44" s="965"/>
      <c r="E44" s="965"/>
      <c r="F44" s="965"/>
      <c r="G44" s="965"/>
      <c r="H44" s="965"/>
      <c r="I44" s="965"/>
      <c r="J44" s="965"/>
      <c r="K44" s="965"/>
      <c r="L44" s="965"/>
      <c r="M44" s="965"/>
    </row>
    <row r="45" spans="1:13" ht="12.75" customHeight="1">
      <c r="A45" s="287"/>
      <c r="B45" s="473"/>
      <c r="C45" s="288"/>
      <c r="D45" s="289" t="s">
        <v>139</v>
      </c>
      <c r="E45" s="290" t="s">
        <v>132</v>
      </c>
      <c r="F45" s="959" t="s">
        <v>221</v>
      </c>
      <c r="G45" s="960"/>
      <c r="H45" s="959" t="s">
        <v>204</v>
      </c>
      <c r="I45" s="960"/>
      <c r="J45" s="292" t="s">
        <v>141</v>
      </c>
      <c r="K45" s="293" t="s">
        <v>30</v>
      </c>
      <c r="L45" s="292" t="s">
        <v>205</v>
      </c>
      <c r="M45" s="291" t="s">
        <v>222</v>
      </c>
    </row>
    <row r="46" spans="1:13" ht="57.75" customHeight="1">
      <c r="A46" s="287" t="s">
        <v>446</v>
      </c>
      <c r="B46" s="473"/>
      <c r="C46" s="288" t="s">
        <v>223</v>
      </c>
      <c r="D46" s="294" t="s">
        <v>144</v>
      </c>
      <c r="E46" s="295">
        <f>I11</f>
        <v>101.41</v>
      </c>
      <c r="F46" s="634">
        <v>300</v>
      </c>
      <c r="G46" s="296">
        <v>300</v>
      </c>
      <c r="H46" s="297"/>
      <c r="I46" s="297">
        <f>E46*F46</f>
        <v>30423</v>
      </c>
      <c r="J46" s="298"/>
      <c r="K46" s="299"/>
      <c r="L46" s="298"/>
      <c r="M46" s="300">
        <f>I46+L46</f>
        <v>30423</v>
      </c>
    </row>
    <row r="47" spans="1:13" ht="25.5" customHeight="1">
      <c r="A47" s="301" t="s">
        <v>206</v>
      </c>
      <c r="B47" s="484"/>
      <c r="C47" s="302" t="s">
        <v>224</v>
      </c>
      <c r="D47" s="303" t="s">
        <v>144</v>
      </c>
      <c r="E47" s="304"/>
      <c r="F47" s="305">
        <v>100</v>
      </c>
      <c r="G47" s="306"/>
      <c r="H47" s="305"/>
      <c r="I47" s="306"/>
      <c r="J47" s="307" t="e">
        <f>TRUNC(#REF!*F47,2)</f>
        <v>#REF!</v>
      </c>
      <c r="K47" s="307">
        <v>156.76</v>
      </c>
      <c r="L47" s="307">
        <f>F47*K47</f>
        <v>15676</v>
      </c>
      <c r="M47" s="300">
        <f>I47+L47</f>
        <v>15676</v>
      </c>
    </row>
    <row r="48" spans="1:13" ht="12.75" customHeight="1">
      <c r="A48" s="301" t="s">
        <v>148</v>
      </c>
      <c r="B48" s="484"/>
      <c r="C48" s="308" t="s">
        <v>225</v>
      </c>
      <c r="D48" s="303" t="s">
        <v>180</v>
      </c>
      <c r="E48" s="304"/>
      <c r="F48" s="305">
        <v>500</v>
      </c>
      <c r="G48" s="305"/>
      <c r="H48" s="305"/>
      <c r="I48" s="305"/>
      <c r="J48" s="307"/>
      <c r="K48" s="307">
        <v>7.65</v>
      </c>
      <c r="L48" s="307">
        <f>F48*K48</f>
        <v>3825</v>
      </c>
      <c r="M48" s="300">
        <f>I48+L48</f>
        <v>3825</v>
      </c>
    </row>
    <row r="49" spans="1:13" ht="39" customHeight="1">
      <c r="A49" s="309" t="s">
        <v>149</v>
      </c>
      <c r="B49" s="485" t="s">
        <v>337</v>
      </c>
      <c r="C49" s="310" t="s">
        <v>336</v>
      </c>
      <c r="D49" s="311" t="s">
        <v>180</v>
      </c>
      <c r="E49" s="312"/>
      <c r="F49" s="313">
        <v>100</v>
      </c>
      <c r="G49" s="313"/>
      <c r="H49" s="305"/>
      <c r="I49" s="305"/>
      <c r="J49" s="307"/>
      <c r="K49" s="307">
        <v>128.62</v>
      </c>
      <c r="L49" s="307">
        <f>F49*K49</f>
        <v>12862</v>
      </c>
      <c r="M49" s="300">
        <f>I49+L49</f>
        <v>12862</v>
      </c>
    </row>
    <row r="50" spans="1:13" ht="27" customHeight="1">
      <c r="A50" s="314"/>
      <c r="B50" s="486"/>
      <c r="C50" s="315"/>
      <c r="D50" s="316"/>
      <c r="E50" s="317"/>
      <c r="F50" s="957"/>
      <c r="G50" s="958"/>
      <c r="H50" s="318"/>
      <c r="I50" s="319">
        <f>I46</f>
        <v>30423</v>
      </c>
      <c r="J50" s="299" t="e">
        <f>SUM(J47:J47)</f>
        <v>#REF!</v>
      </c>
      <c r="K50" s="293"/>
      <c r="L50" s="293">
        <f>SUM(L47:L49)</f>
        <v>32363</v>
      </c>
      <c r="M50" s="291">
        <f>SUM(M46:M49)</f>
        <v>62786</v>
      </c>
    </row>
    <row r="51" spans="1:13" ht="12.75" customHeight="1">
      <c r="A51" s="287" t="s">
        <v>449</v>
      </c>
      <c r="B51" s="473"/>
      <c r="C51" s="302"/>
      <c r="D51" s="289" t="s">
        <v>139</v>
      </c>
      <c r="E51" s="290" t="s">
        <v>132</v>
      </c>
      <c r="F51" s="959" t="s">
        <v>221</v>
      </c>
      <c r="G51" s="960"/>
      <c r="H51" s="959" t="s">
        <v>226</v>
      </c>
      <c r="I51" s="960"/>
      <c r="J51" s="292" t="s">
        <v>141</v>
      </c>
      <c r="K51" s="293" t="s">
        <v>30</v>
      </c>
      <c r="L51" s="292" t="s">
        <v>205</v>
      </c>
      <c r="M51" s="291" t="s">
        <v>142</v>
      </c>
    </row>
    <row r="52" spans="1:13" ht="66" customHeight="1">
      <c r="A52" s="301" t="s">
        <v>206</v>
      </c>
      <c r="B52" s="484"/>
      <c r="C52" s="288" t="s">
        <v>227</v>
      </c>
      <c r="D52" s="303" t="s">
        <v>144</v>
      </c>
      <c r="E52" s="304">
        <f>E46</f>
        <v>101.41</v>
      </c>
      <c r="F52" s="320">
        <v>300</v>
      </c>
      <c r="G52" s="321">
        <v>300</v>
      </c>
      <c r="H52" s="320"/>
      <c r="I52" s="307">
        <f>E52*F52</f>
        <v>30423</v>
      </c>
      <c r="J52" s="307" t="e">
        <f>TRUNC(#REF!*F52,2)</f>
        <v>#REF!</v>
      </c>
      <c r="K52" s="307">
        <v>0</v>
      </c>
      <c r="L52" s="307">
        <f>TRUNC((F52*K52),2)</f>
        <v>0</v>
      </c>
      <c r="M52" s="305">
        <f>I52+L52</f>
        <v>30423</v>
      </c>
    </row>
    <row r="53" spans="1:13" ht="42" customHeight="1">
      <c r="A53" s="301" t="s">
        <v>148</v>
      </c>
      <c r="B53" s="484" t="s">
        <v>342</v>
      </c>
      <c r="C53" s="308" t="s">
        <v>339</v>
      </c>
      <c r="D53" s="303" t="s">
        <v>144</v>
      </c>
      <c r="E53" s="304"/>
      <c r="F53" s="320">
        <v>30</v>
      </c>
      <c r="G53" s="322"/>
      <c r="H53" s="320"/>
      <c r="I53" s="322"/>
      <c r="J53" s="307"/>
      <c r="K53" s="307">
        <v>1190.12</v>
      </c>
      <c r="L53" s="307">
        <f>F53*K53</f>
        <v>35703.6</v>
      </c>
      <c r="M53" s="305">
        <f>I53+L53</f>
        <v>35703.6</v>
      </c>
    </row>
    <row r="54" spans="1:13" ht="42" customHeight="1">
      <c r="A54" s="301" t="s">
        <v>149</v>
      </c>
      <c r="B54" s="484" t="s">
        <v>343</v>
      </c>
      <c r="C54" s="308" t="s">
        <v>341</v>
      </c>
      <c r="D54" s="303" t="s">
        <v>180</v>
      </c>
      <c r="E54" s="304"/>
      <c r="F54" s="320">
        <v>10</v>
      </c>
      <c r="G54" s="322"/>
      <c r="H54" s="320"/>
      <c r="I54" s="322"/>
      <c r="J54" s="307"/>
      <c r="K54" s="307">
        <v>1153.86</v>
      </c>
      <c r="L54" s="307">
        <f aca="true" t="shared" si="2" ref="L54:L65">F54*K54</f>
        <v>11538.599999999999</v>
      </c>
      <c r="M54" s="305">
        <f>I54+L54</f>
        <v>11538.599999999999</v>
      </c>
    </row>
    <row r="55" spans="1:13" ht="42" customHeight="1">
      <c r="A55" s="301" t="s">
        <v>150</v>
      </c>
      <c r="B55" s="484" t="s">
        <v>344</v>
      </c>
      <c r="C55" s="308" t="s">
        <v>340</v>
      </c>
      <c r="D55" s="303" t="s">
        <v>180</v>
      </c>
      <c r="E55" s="304"/>
      <c r="F55" s="320">
        <v>5</v>
      </c>
      <c r="G55" s="322"/>
      <c r="H55" s="320"/>
      <c r="I55" s="322"/>
      <c r="J55" s="307"/>
      <c r="K55" s="307">
        <v>1200.96</v>
      </c>
      <c r="L55" s="307">
        <f t="shared" si="2"/>
        <v>6004.8</v>
      </c>
      <c r="M55" s="305">
        <f>I55+L55</f>
        <v>6004.8</v>
      </c>
    </row>
    <row r="56" spans="1:13" ht="36" customHeight="1">
      <c r="A56" s="301" t="s">
        <v>190</v>
      </c>
      <c r="B56" s="484" t="s">
        <v>439</v>
      </c>
      <c r="C56" s="308" t="s">
        <v>228</v>
      </c>
      <c r="D56" s="303" t="s">
        <v>144</v>
      </c>
      <c r="E56" s="304"/>
      <c r="F56" s="320">
        <v>10</v>
      </c>
      <c r="G56" s="322"/>
      <c r="H56" s="320"/>
      <c r="I56" s="322"/>
      <c r="J56" s="307"/>
      <c r="K56" s="307">
        <v>1439.33</v>
      </c>
      <c r="L56" s="307">
        <f t="shared" si="2"/>
        <v>14393.3</v>
      </c>
      <c r="M56" s="305">
        <f>I56+L56</f>
        <v>14393.3</v>
      </c>
    </row>
    <row r="57" spans="1:13" ht="32.25" customHeight="1">
      <c r="A57" s="301" t="s">
        <v>191</v>
      </c>
      <c r="B57" s="484" t="s">
        <v>439</v>
      </c>
      <c r="C57" s="308" t="s">
        <v>325</v>
      </c>
      <c r="D57" s="303" t="s">
        <v>180</v>
      </c>
      <c r="E57" s="304"/>
      <c r="F57" s="320">
        <v>15</v>
      </c>
      <c r="G57" s="322"/>
      <c r="H57" s="320"/>
      <c r="I57" s="322"/>
      <c r="J57" s="307"/>
      <c r="K57" s="307">
        <v>590.67</v>
      </c>
      <c r="L57" s="307">
        <f t="shared" si="2"/>
        <v>8860.05</v>
      </c>
      <c r="M57" s="305">
        <f aca="true" t="shared" si="3" ref="M57:M65">I57+L57</f>
        <v>8860.05</v>
      </c>
    </row>
    <row r="58" spans="1:13" ht="29.25" customHeight="1">
      <c r="A58" s="301" t="s">
        <v>146</v>
      </c>
      <c r="B58" s="484" t="s">
        <v>439</v>
      </c>
      <c r="C58" s="308" t="s">
        <v>327</v>
      </c>
      <c r="D58" s="303" t="s">
        <v>180</v>
      </c>
      <c r="E58" s="304"/>
      <c r="F58" s="320">
        <v>5</v>
      </c>
      <c r="G58" s="322"/>
      <c r="H58" s="320"/>
      <c r="I58" s="322"/>
      <c r="J58" s="307"/>
      <c r="K58" s="307">
        <v>767.23</v>
      </c>
      <c r="L58" s="307">
        <f t="shared" si="2"/>
        <v>3836.15</v>
      </c>
      <c r="M58" s="305">
        <f t="shared" si="3"/>
        <v>3836.15</v>
      </c>
    </row>
    <row r="59" spans="1:13" ht="30.75" customHeight="1">
      <c r="A59" s="301" t="s">
        <v>96</v>
      </c>
      <c r="B59" s="484" t="s">
        <v>439</v>
      </c>
      <c r="C59" s="308" t="s">
        <v>326</v>
      </c>
      <c r="D59" s="303" t="s">
        <v>180</v>
      </c>
      <c r="E59" s="304"/>
      <c r="F59" s="320">
        <v>5</v>
      </c>
      <c r="G59" s="322"/>
      <c r="H59" s="320"/>
      <c r="I59" s="322"/>
      <c r="J59" s="307"/>
      <c r="K59" s="307">
        <v>1054</v>
      </c>
      <c r="L59" s="307">
        <f t="shared" si="2"/>
        <v>5270</v>
      </c>
      <c r="M59" s="305">
        <f t="shared" si="3"/>
        <v>5270</v>
      </c>
    </row>
    <row r="60" spans="1:13" ht="52.5" customHeight="1">
      <c r="A60" s="301" t="s">
        <v>451</v>
      </c>
      <c r="B60" s="484" t="s">
        <v>439</v>
      </c>
      <c r="C60" s="308" t="s">
        <v>229</v>
      </c>
      <c r="D60" s="303" t="s">
        <v>144</v>
      </c>
      <c r="E60" s="304"/>
      <c r="F60" s="320">
        <v>40</v>
      </c>
      <c r="G60" s="322"/>
      <c r="H60" s="320"/>
      <c r="I60" s="322"/>
      <c r="J60" s="307"/>
      <c r="K60" s="307">
        <v>193.48</v>
      </c>
      <c r="L60" s="307">
        <f t="shared" si="2"/>
        <v>7739.2</v>
      </c>
      <c r="M60" s="305">
        <f t="shared" si="3"/>
        <v>7739.2</v>
      </c>
    </row>
    <row r="61" spans="1:13" ht="52.5" customHeight="1">
      <c r="A61" s="301" t="s">
        <v>151</v>
      </c>
      <c r="B61" s="484" t="s">
        <v>439</v>
      </c>
      <c r="C61" s="308" t="s">
        <v>309</v>
      </c>
      <c r="D61" s="303" t="s">
        <v>180</v>
      </c>
      <c r="E61" s="304"/>
      <c r="F61" s="320">
        <v>30</v>
      </c>
      <c r="G61" s="322"/>
      <c r="H61" s="320"/>
      <c r="I61" s="322"/>
      <c r="J61" s="307"/>
      <c r="K61" s="307">
        <v>652.24</v>
      </c>
      <c r="L61" s="307">
        <f t="shared" si="2"/>
        <v>19567.2</v>
      </c>
      <c r="M61" s="305">
        <f t="shared" si="3"/>
        <v>19567.2</v>
      </c>
    </row>
    <row r="62" spans="1:13" ht="52.5" customHeight="1">
      <c r="A62" s="301" t="s">
        <v>457</v>
      </c>
      <c r="B62" s="484" t="s">
        <v>439</v>
      </c>
      <c r="C62" s="308" t="s">
        <v>310</v>
      </c>
      <c r="D62" s="303" t="s">
        <v>180</v>
      </c>
      <c r="E62" s="304"/>
      <c r="F62" s="320">
        <v>20</v>
      </c>
      <c r="G62" s="322"/>
      <c r="H62" s="320"/>
      <c r="I62" s="322"/>
      <c r="J62" s="307"/>
      <c r="K62" s="307">
        <v>1069.57</v>
      </c>
      <c r="L62" s="307">
        <f t="shared" si="2"/>
        <v>21391.399999999998</v>
      </c>
      <c r="M62" s="305">
        <f t="shared" si="3"/>
        <v>21391.399999999998</v>
      </c>
    </row>
    <row r="63" spans="1:13" ht="52.5" customHeight="1">
      <c r="A63" s="301" t="s">
        <v>152</v>
      </c>
      <c r="B63" s="484" t="s">
        <v>439</v>
      </c>
      <c r="C63" s="308" t="s">
        <v>311</v>
      </c>
      <c r="D63" s="303" t="s">
        <v>180</v>
      </c>
      <c r="E63" s="304"/>
      <c r="F63" s="320">
        <v>30</v>
      </c>
      <c r="G63" s="322"/>
      <c r="H63" s="320"/>
      <c r="I63" s="322"/>
      <c r="J63" s="307"/>
      <c r="K63" s="307">
        <v>1215.25</v>
      </c>
      <c r="L63" s="307">
        <f t="shared" si="2"/>
        <v>36457.5</v>
      </c>
      <c r="M63" s="305">
        <f t="shared" si="3"/>
        <v>36457.5</v>
      </c>
    </row>
    <row r="64" spans="1:13" ht="34.5" customHeight="1">
      <c r="A64" s="301" t="s">
        <v>145</v>
      </c>
      <c r="B64" s="484" t="s">
        <v>439</v>
      </c>
      <c r="C64" s="308" t="s">
        <v>230</v>
      </c>
      <c r="D64" s="303" t="s">
        <v>144</v>
      </c>
      <c r="E64" s="304"/>
      <c r="F64" s="320">
        <v>20</v>
      </c>
      <c r="G64" s="322"/>
      <c r="H64" s="320"/>
      <c r="I64" s="322"/>
      <c r="J64" s="307"/>
      <c r="K64" s="307">
        <v>206.7</v>
      </c>
      <c r="L64" s="307">
        <f t="shared" si="2"/>
        <v>4134</v>
      </c>
      <c r="M64" s="305">
        <f t="shared" si="3"/>
        <v>4134</v>
      </c>
    </row>
    <row r="65" spans="1:13" ht="33" customHeight="1">
      <c r="A65" s="301" t="s">
        <v>181</v>
      </c>
      <c r="B65" s="484" t="s">
        <v>439</v>
      </c>
      <c r="C65" s="308" t="s">
        <v>231</v>
      </c>
      <c r="D65" s="303" t="s">
        <v>144</v>
      </c>
      <c r="E65" s="304"/>
      <c r="F65" s="320">
        <v>20</v>
      </c>
      <c r="G65" s="322"/>
      <c r="H65" s="320"/>
      <c r="I65" s="322"/>
      <c r="J65" s="307"/>
      <c r="K65" s="307">
        <v>295.9</v>
      </c>
      <c r="L65" s="307">
        <f t="shared" si="2"/>
        <v>5918</v>
      </c>
      <c r="M65" s="305">
        <f t="shared" si="3"/>
        <v>5918</v>
      </c>
    </row>
    <row r="66" spans="1:13" ht="41.25" customHeight="1">
      <c r="A66" s="301"/>
      <c r="B66" s="484"/>
      <c r="C66" s="308"/>
      <c r="D66" s="303"/>
      <c r="E66" s="304"/>
      <c r="F66" s="961"/>
      <c r="G66" s="962"/>
      <c r="H66" s="291"/>
      <c r="I66" s="323">
        <f>SUM(I52:I65)</f>
        <v>30423</v>
      </c>
      <c r="J66" s="299" t="e">
        <f>SUM(J52:J60)</f>
        <v>#REF!</v>
      </c>
      <c r="K66" s="293"/>
      <c r="L66" s="293">
        <f>SUM(L53:L65)</f>
        <v>180813.8</v>
      </c>
      <c r="M66" s="319">
        <f>SUM(M52:M65)</f>
        <v>211236.80000000002</v>
      </c>
    </row>
    <row r="67" spans="1:13" ht="25.5" customHeight="1">
      <c r="A67" s="324"/>
      <c r="B67" s="482"/>
      <c r="C67" s="325"/>
      <c r="D67" s="326" t="s">
        <v>139</v>
      </c>
      <c r="E67" s="327" t="s">
        <v>132</v>
      </c>
      <c r="F67" s="963" t="s">
        <v>140</v>
      </c>
      <c r="G67" s="964"/>
      <c r="H67" s="963" t="s">
        <v>226</v>
      </c>
      <c r="I67" s="964"/>
      <c r="J67" s="328" t="s">
        <v>141</v>
      </c>
      <c r="K67" s="329" t="s">
        <v>30</v>
      </c>
      <c r="L67" s="328" t="s">
        <v>232</v>
      </c>
      <c r="M67" s="330" t="s">
        <v>142</v>
      </c>
    </row>
    <row r="68" spans="1:13" ht="40.5" customHeight="1">
      <c r="A68" s="503" t="s">
        <v>462</v>
      </c>
      <c r="B68" s="484"/>
      <c r="C68" s="331" t="s">
        <v>234</v>
      </c>
      <c r="D68" s="303" t="s">
        <v>144</v>
      </c>
      <c r="E68" s="295">
        <f>E52</f>
        <v>101.41</v>
      </c>
      <c r="F68" s="320">
        <v>120</v>
      </c>
      <c r="G68" s="322">
        <v>120</v>
      </c>
      <c r="H68" s="291"/>
      <c r="I68" s="332">
        <f>E68*F68</f>
        <v>12169.199999999999</v>
      </c>
      <c r="J68" s="299"/>
      <c r="K68" s="293"/>
      <c r="L68" s="299"/>
      <c r="M68" s="297">
        <f aca="true" t="shared" si="4" ref="M68:M74">I68+L68</f>
        <v>12169.199999999999</v>
      </c>
    </row>
    <row r="69" spans="1:13" ht="38.25">
      <c r="A69" s="301" t="s">
        <v>206</v>
      </c>
      <c r="B69" s="484" t="s">
        <v>345</v>
      </c>
      <c r="C69" s="308" t="s">
        <v>235</v>
      </c>
      <c r="D69" s="303" t="s">
        <v>144</v>
      </c>
      <c r="E69" s="295"/>
      <c r="F69" s="320">
        <v>100</v>
      </c>
      <c r="G69" s="322"/>
      <c r="H69" s="291"/>
      <c r="I69" s="292"/>
      <c r="J69" s="299"/>
      <c r="K69" s="299">
        <v>32.7</v>
      </c>
      <c r="L69" s="299">
        <f aca="true" t="shared" si="5" ref="L69:L76">F69*K69</f>
        <v>3270.0000000000005</v>
      </c>
      <c r="M69" s="297">
        <f t="shared" si="4"/>
        <v>3270.0000000000005</v>
      </c>
    </row>
    <row r="70" spans="1:13" ht="25.5">
      <c r="A70" s="301" t="s">
        <v>148</v>
      </c>
      <c r="B70" s="484" t="s">
        <v>439</v>
      </c>
      <c r="C70" s="308" t="s">
        <v>463</v>
      </c>
      <c r="D70" s="303" t="s">
        <v>144</v>
      </c>
      <c r="E70" s="304"/>
      <c r="F70" s="320">
        <v>250</v>
      </c>
      <c r="G70" s="322"/>
      <c r="H70" s="291"/>
      <c r="I70" s="292"/>
      <c r="J70" s="299"/>
      <c r="K70" s="299">
        <v>31.41</v>
      </c>
      <c r="L70" s="299">
        <f t="shared" si="5"/>
        <v>7852.5</v>
      </c>
      <c r="M70" s="297">
        <f t="shared" si="4"/>
        <v>7852.5</v>
      </c>
    </row>
    <row r="71" spans="1:13" ht="38.25">
      <c r="A71" s="301" t="s">
        <v>149</v>
      </c>
      <c r="B71" s="484" t="s">
        <v>439</v>
      </c>
      <c r="C71" s="308" t="s">
        <v>236</v>
      </c>
      <c r="D71" s="303" t="s">
        <v>180</v>
      </c>
      <c r="E71" s="304"/>
      <c r="F71" s="320">
        <v>35</v>
      </c>
      <c r="G71" s="322"/>
      <c r="H71" s="291"/>
      <c r="I71" s="292"/>
      <c r="J71" s="299"/>
      <c r="K71" s="299">
        <v>43.83</v>
      </c>
      <c r="L71" s="299">
        <f t="shared" si="5"/>
        <v>1534.05</v>
      </c>
      <c r="M71" s="297">
        <f t="shared" si="4"/>
        <v>1534.05</v>
      </c>
    </row>
    <row r="72" spans="1:13" ht="38.25">
      <c r="A72" s="502" t="s">
        <v>150</v>
      </c>
      <c r="B72" s="484" t="s">
        <v>439</v>
      </c>
      <c r="C72" s="308" t="s">
        <v>237</v>
      </c>
      <c r="D72" s="303" t="s">
        <v>144</v>
      </c>
      <c r="E72" s="304"/>
      <c r="F72" s="320">
        <v>10</v>
      </c>
      <c r="G72" s="322"/>
      <c r="H72" s="291"/>
      <c r="I72" s="292"/>
      <c r="J72" s="299"/>
      <c r="K72" s="299">
        <v>700.33</v>
      </c>
      <c r="L72" s="299">
        <f t="shared" si="5"/>
        <v>7003.3</v>
      </c>
      <c r="M72" s="297">
        <f t="shared" si="4"/>
        <v>7003.3</v>
      </c>
    </row>
    <row r="73" spans="1:13" ht="25.5">
      <c r="A73" s="301" t="s">
        <v>190</v>
      </c>
      <c r="B73" s="484" t="s">
        <v>439</v>
      </c>
      <c r="C73" s="308" t="s">
        <v>238</v>
      </c>
      <c r="D73" s="303" t="s">
        <v>144</v>
      </c>
      <c r="E73" s="304"/>
      <c r="F73" s="320">
        <v>40</v>
      </c>
      <c r="G73" s="322"/>
      <c r="H73" s="291"/>
      <c r="I73" s="292"/>
      <c r="J73" s="299"/>
      <c r="K73" s="299">
        <v>55.49</v>
      </c>
      <c r="L73" s="299">
        <f t="shared" si="5"/>
        <v>2219.6</v>
      </c>
      <c r="M73" s="297">
        <f t="shared" si="4"/>
        <v>2219.6</v>
      </c>
    </row>
    <row r="74" spans="1:13" ht="25.5">
      <c r="A74" s="502" t="s">
        <v>191</v>
      </c>
      <c r="B74" s="484" t="s">
        <v>439</v>
      </c>
      <c r="C74" s="308" t="s">
        <v>331</v>
      </c>
      <c r="D74" s="303"/>
      <c r="E74" s="304"/>
      <c r="F74" s="320">
        <v>75</v>
      </c>
      <c r="G74" s="322"/>
      <c r="H74" s="291"/>
      <c r="I74" s="292"/>
      <c r="J74" s="299"/>
      <c r="K74" s="299">
        <v>59.77</v>
      </c>
      <c r="L74" s="299">
        <f t="shared" si="5"/>
        <v>4482.75</v>
      </c>
      <c r="M74" s="297">
        <f t="shared" si="4"/>
        <v>4482.75</v>
      </c>
    </row>
    <row r="75" spans="1:13" ht="25.5">
      <c r="A75" s="301" t="s">
        <v>146</v>
      </c>
      <c r="B75" s="484" t="s">
        <v>439</v>
      </c>
      <c r="C75" s="308" t="s">
        <v>239</v>
      </c>
      <c r="D75" s="303" t="s">
        <v>144</v>
      </c>
      <c r="E75" s="304"/>
      <c r="F75" s="320">
        <v>100</v>
      </c>
      <c r="G75" s="322"/>
      <c r="H75" s="291"/>
      <c r="I75" s="292"/>
      <c r="J75" s="299"/>
      <c r="K75" s="299">
        <v>60.46</v>
      </c>
      <c r="L75" s="299">
        <f t="shared" si="5"/>
        <v>6046</v>
      </c>
      <c r="M75" s="297">
        <f>I75+L75</f>
        <v>6046</v>
      </c>
    </row>
    <row r="76" spans="1:13" ht="25.5">
      <c r="A76" s="301" t="s">
        <v>96</v>
      </c>
      <c r="B76" s="484" t="s">
        <v>439</v>
      </c>
      <c r="C76" s="308" t="s">
        <v>332</v>
      </c>
      <c r="D76" s="303"/>
      <c r="E76" s="304"/>
      <c r="F76" s="320">
        <v>120</v>
      </c>
      <c r="G76" s="322"/>
      <c r="H76" s="291"/>
      <c r="I76" s="292"/>
      <c r="J76" s="299"/>
      <c r="K76" s="299">
        <v>59.69</v>
      </c>
      <c r="L76" s="299">
        <f t="shared" si="5"/>
        <v>7162.799999999999</v>
      </c>
      <c r="M76" s="297">
        <f>I76+L76</f>
        <v>7162.799999999999</v>
      </c>
    </row>
    <row r="77" spans="1:13" ht="25.5">
      <c r="A77" s="301" t="s">
        <v>451</v>
      </c>
      <c r="B77" s="484" t="s">
        <v>439</v>
      </c>
      <c r="C77" s="308" t="s">
        <v>321</v>
      </c>
      <c r="D77" s="303" t="s">
        <v>180</v>
      </c>
      <c r="E77" s="304"/>
      <c r="F77" s="320">
        <v>25</v>
      </c>
      <c r="G77" s="322"/>
      <c r="H77" s="291"/>
      <c r="I77" s="292"/>
      <c r="J77" s="299"/>
      <c r="K77" s="299">
        <v>74.62</v>
      </c>
      <c r="L77" s="299">
        <f aca="true" t="shared" si="6" ref="L77:L82">F77*K77</f>
        <v>1865.5</v>
      </c>
      <c r="M77" s="297">
        <f aca="true" t="shared" si="7" ref="M77:M82">I77+L77</f>
        <v>1865.5</v>
      </c>
    </row>
    <row r="78" spans="1:13" ht="25.5">
      <c r="A78" s="301" t="s">
        <v>151</v>
      </c>
      <c r="B78" s="484" t="s">
        <v>439</v>
      </c>
      <c r="C78" s="308" t="s">
        <v>240</v>
      </c>
      <c r="D78" s="303" t="s">
        <v>144</v>
      </c>
      <c r="E78" s="304"/>
      <c r="F78" s="320">
        <v>10</v>
      </c>
      <c r="G78" s="322"/>
      <c r="H78" s="291"/>
      <c r="I78" s="292"/>
      <c r="J78" s="299"/>
      <c r="K78" s="299">
        <v>415.76</v>
      </c>
      <c r="L78" s="299">
        <f t="shared" si="6"/>
        <v>4157.6</v>
      </c>
      <c r="M78" s="297">
        <f t="shared" si="7"/>
        <v>4157.6</v>
      </c>
    </row>
    <row r="79" spans="1:13" ht="25.5">
      <c r="A79" s="301" t="s">
        <v>457</v>
      </c>
      <c r="B79" s="484" t="s">
        <v>347</v>
      </c>
      <c r="C79" s="308" t="s">
        <v>346</v>
      </c>
      <c r="D79" s="303" t="s">
        <v>145</v>
      </c>
      <c r="E79" s="304"/>
      <c r="F79" s="320">
        <v>650</v>
      </c>
      <c r="G79" s="322"/>
      <c r="H79" s="291"/>
      <c r="I79" s="292"/>
      <c r="J79" s="299"/>
      <c r="K79" s="299">
        <v>57.72</v>
      </c>
      <c r="L79" s="299">
        <f t="shared" si="6"/>
        <v>37518</v>
      </c>
      <c r="M79" s="297">
        <f t="shared" si="7"/>
        <v>37518</v>
      </c>
    </row>
    <row r="80" spans="1:13" ht="25.5">
      <c r="A80" s="301" t="s">
        <v>152</v>
      </c>
      <c r="B80" s="484" t="s">
        <v>349</v>
      </c>
      <c r="C80" s="308" t="s">
        <v>348</v>
      </c>
      <c r="D80" s="303" t="s">
        <v>145</v>
      </c>
      <c r="E80" s="304"/>
      <c r="F80" s="320">
        <v>950</v>
      </c>
      <c r="G80" s="322"/>
      <c r="H80" s="291"/>
      <c r="I80" s="292"/>
      <c r="J80" s="299"/>
      <c r="K80" s="299">
        <v>43.78</v>
      </c>
      <c r="L80" s="299">
        <f t="shared" si="6"/>
        <v>41591</v>
      </c>
      <c r="M80" s="297">
        <f t="shared" si="7"/>
        <v>41591</v>
      </c>
    </row>
    <row r="81" spans="1:13" ht="25.5">
      <c r="A81" s="301" t="s">
        <v>145</v>
      </c>
      <c r="B81" s="484" t="s">
        <v>350</v>
      </c>
      <c r="C81" s="308" t="s">
        <v>322</v>
      </c>
      <c r="D81" s="303" t="s">
        <v>145</v>
      </c>
      <c r="E81" s="304"/>
      <c r="F81" s="320">
        <v>1200</v>
      </c>
      <c r="G81" s="322"/>
      <c r="H81" s="291"/>
      <c r="I81" s="292"/>
      <c r="J81" s="299"/>
      <c r="K81" s="299">
        <v>32.09</v>
      </c>
      <c r="L81" s="299">
        <f t="shared" si="6"/>
        <v>38508.00000000001</v>
      </c>
      <c r="M81" s="297">
        <f t="shared" si="7"/>
        <v>38508.00000000001</v>
      </c>
    </row>
    <row r="82" spans="1:13" ht="25.5">
      <c r="A82" s="301" t="s">
        <v>181</v>
      </c>
      <c r="B82" s="484" t="s">
        <v>351</v>
      </c>
      <c r="C82" s="308" t="s">
        <v>323</v>
      </c>
      <c r="D82" s="303" t="s">
        <v>145</v>
      </c>
      <c r="E82" s="304"/>
      <c r="F82" s="320">
        <v>950</v>
      </c>
      <c r="G82" s="322"/>
      <c r="H82" s="291"/>
      <c r="I82" s="292"/>
      <c r="J82" s="299"/>
      <c r="K82" s="299">
        <v>22.91</v>
      </c>
      <c r="L82" s="299">
        <f t="shared" si="6"/>
        <v>21764.5</v>
      </c>
      <c r="M82" s="297">
        <f t="shared" si="7"/>
        <v>21764.5</v>
      </c>
    </row>
    <row r="83" spans="1:13" ht="25.5">
      <c r="A83" s="301" t="s">
        <v>182</v>
      </c>
      <c r="B83" s="484" t="s">
        <v>352</v>
      </c>
      <c r="C83" s="308" t="s">
        <v>241</v>
      </c>
      <c r="D83" s="303" t="s">
        <v>145</v>
      </c>
      <c r="E83" s="304"/>
      <c r="F83" s="320">
        <v>1000</v>
      </c>
      <c r="G83" s="322"/>
      <c r="H83" s="291"/>
      <c r="I83" s="292"/>
      <c r="J83" s="299"/>
      <c r="K83" s="299">
        <v>17.04</v>
      </c>
      <c r="L83" s="299">
        <f aca="true" t="shared" si="8" ref="L83:L95">F83*K83</f>
        <v>17040</v>
      </c>
      <c r="M83" s="297">
        <f aca="true" t="shared" si="9" ref="M83:M95">I83+L83</f>
        <v>17040</v>
      </c>
    </row>
    <row r="84" spans="1:13" ht="25.5">
      <c r="A84" s="301" t="s">
        <v>192</v>
      </c>
      <c r="B84" s="484" t="s">
        <v>353</v>
      </c>
      <c r="C84" s="308" t="s">
        <v>242</v>
      </c>
      <c r="D84" s="303" t="s">
        <v>145</v>
      </c>
      <c r="E84" s="304"/>
      <c r="F84" s="320">
        <v>1000</v>
      </c>
      <c r="G84" s="322"/>
      <c r="H84" s="291"/>
      <c r="I84" s="292"/>
      <c r="J84" s="299"/>
      <c r="K84" s="299">
        <v>10.23</v>
      </c>
      <c r="L84" s="299">
        <f t="shared" si="8"/>
        <v>10230</v>
      </c>
      <c r="M84" s="297">
        <f t="shared" si="9"/>
        <v>10230</v>
      </c>
    </row>
    <row r="85" spans="1:13" ht="25.5">
      <c r="A85" s="301" t="s">
        <v>193</v>
      </c>
      <c r="B85" s="484" t="s">
        <v>354</v>
      </c>
      <c r="C85" s="308" t="s">
        <v>243</v>
      </c>
      <c r="D85" s="303" t="s">
        <v>145</v>
      </c>
      <c r="E85" s="304"/>
      <c r="F85" s="320">
        <v>900</v>
      </c>
      <c r="G85" s="322"/>
      <c r="H85" s="291"/>
      <c r="I85" s="292"/>
      <c r="J85" s="299"/>
      <c r="K85" s="299">
        <v>6.68</v>
      </c>
      <c r="L85" s="299">
        <f t="shared" si="8"/>
        <v>6012</v>
      </c>
      <c r="M85" s="297">
        <f t="shared" si="9"/>
        <v>6012</v>
      </c>
    </row>
    <row r="86" spans="1:13" ht="25.5">
      <c r="A86" s="301" t="s">
        <v>465</v>
      </c>
      <c r="B86" s="484" t="s">
        <v>355</v>
      </c>
      <c r="C86" s="308" t="s">
        <v>244</v>
      </c>
      <c r="D86" s="303" t="s">
        <v>145</v>
      </c>
      <c r="E86" s="304"/>
      <c r="F86" s="320">
        <v>1000</v>
      </c>
      <c r="G86" s="322"/>
      <c r="H86" s="291"/>
      <c r="I86" s="292"/>
      <c r="J86" s="299"/>
      <c r="K86" s="299">
        <v>6.54</v>
      </c>
      <c r="L86" s="299">
        <f t="shared" si="8"/>
        <v>6540</v>
      </c>
      <c r="M86" s="297">
        <f t="shared" si="9"/>
        <v>6540</v>
      </c>
    </row>
    <row r="87" spans="1:13" ht="27.75" customHeight="1">
      <c r="A87" s="301" t="s">
        <v>194</v>
      </c>
      <c r="B87" s="484" t="s">
        <v>356</v>
      </c>
      <c r="C87" s="308" t="s">
        <v>324</v>
      </c>
      <c r="D87" s="303" t="s">
        <v>145</v>
      </c>
      <c r="E87" s="304"/>
      <c r="F87" s="320">
        <v>1000</v>
      </c>
      <c r="G87" s="322"/>
      <c r="H87" s="291"/>
      <c r="I87" s="292"/>
      <c r="J87" s="299"/>
      <c r="K87" s="299">
        <v>4.87</v>
      </c>
      <c r="L87" s="299">
        <f t="shared" si="8"/>
        <v>4870</v>
      </c>
      <c r="M87" s="297">
        <f t="shared" si="9"/>
        <v>4870</v>
      </c>
    </row>
    <row r="88" spans="1:13" ht="25.5">
      <c r="A88" s="301" t="s">
        <v>195</v>
      </c>
      <c r="B88" s="484" t="s">
        <v>357</v>
      </c>
      <c r="C88" s="308" t="s">
        <v>245</v>
      </c>
      <c r="D88" s="303" t="s">
        <v>145</v>
      </c>
      <c r="E88" s="304"/>
      <c r="F88" s="320">
        <v>2000</v>
      </c>
      <c r="G88" s="322"/>
      <c r="H88" s="291"/>
      <c r="I88" s="292"/>
      <c r="J88" s="299"/>
      <c r="K88" s="299">
        <v>3.48</v>
      </c>
      <c r="L88" s="299">
        <f t="shared" si="8"/>
        <v>6960</v>
      </c>
      <c r="M88" s="297">
        <f t="shared" si="9"/>
        <v>6960</v>
      </c>
    </row>
    <row r="89" spans="1:13" ht="25.5">
      <c r="A89" s="301" t="s">
        <v>248</v>
      </c>
      <c r="B89" s="484" t="s">
        <v>359</v>
      </c>
      <c r="C89" s="308" t="s">
        <v>358</v>
      </c>
      <c r="D89" s="303" t="s">
        <v>145</v>
      </c>
      <c r="E89" s="304"/>
      <c r="F89" s="320">
        <v>1000</v>
      </c>
      <c r="G89" s="322"/>
      <c r="H89" s="291"/>
      <c r="I89" s="292"/>
      <c r="J89" s="299"/>
      <c r="K89" s="299">
        <v>22.17</v>
      </c>
      <c r="L89" s="299">
        <f t="shared" si="8"/>
        <v>22170</v>
      </c>
      <c r="M89" s="297">
        <f t="shared" si="9"/>
        <v>22170</v>
      </c>
    </row>
    <row r="90" spans="1:13" ht="25.5">
      <c r="A90" s="301" t="s">
        <v>249</v>
      </c>
      <c r="B90" s="484" t="s">
        <v>360</v>
      </c>
      <c r="C90" s="308" t="s">
        <v>361</v>
      </c>
      <c r="D90" s="303" t="s">
        <v>144</v>
      </c>
      <c r="E90" s="304"/>
      <c r="F90" s="320">
        <v>60</v>
      </c>
      <c r="G90" s="322"/>
      <c r="H90" s="291"/>
      <c r="I90" s="292"/>
      <c r="J90" s="299"/>
      <c r="K90" s="299">
        <v>159.7</v>
      </c>
      <c r="L90" s="299">
        <f t="shared" si="8"/>
        <v>9582</v>
      </c>
      <c r="M90" s="297">
        <f t="shared" si="9"/>
        <v>9582</v>
      </c>
    </row>
    <row r="91" spans="1:13" ht="27.75" customHeight="1">
      <c r="A91" s="301" t="s">
        <v>467</v>
      </c>
      <c r="B91" s="483" t="s">
        <v>439</v>
      </c>
      <c r="C91" s="460" t="s">
        <v>312</v>
      </c>
      <c r="D91" s="303"/>
      <c r="E91" s="304"/>
      <c r="F91" s="320">
        <v>6</v>
      </c>
      <c r="G91" s="322"/>
      <c r="H91" s="291"/>
      <c r="I91" s="292"/>
      <c r="J91" s="299"/>
      <c r="K91" s="299">
        <v>855.48</v>
      </c>
      <c r="L91" s="299">
        <f t="shared" si="8"/>
        <v>5132.88</v>
      </c>
      <c r="M91" s="297">
        <f t="shared" si="9"/>
        <v>5132.88</v>
      </c>
    </row>
    <row r="92" spans="1:13" ht="30.75" customHeight="1">
      <c r="A92" s="301" t="s">
        <v>251</v>
      </c>
      <c r="B92" s="483" t="s">
        <v>378</v>
      </c>
      <c r="C92" s="460" t="s">
        <v>313</v>
      </c>
      <c r="D92" s="303"/>
      <c r="E92" s="304"/>
      <c r="F92" s="320">
        <v>5</v>
      </c>
      <c r="G92" s="322"/>
      <c r="H92" s="291"/>
      <c r="I92" s="292"/>
      <c r="J92" s="299"/>
      <c r="K92" s="299">
        <v>4541.63</v>
      </c>
      <c r="L92" s="299">
        <f t="shared" si="8"/>
        <v>22708.15</v>
      </c>
      <c r="M92" s="297">
        <f t="shared" si="9"/>
        <v>22708.15</v>
      </c>
    </row>
    <row r="93" spans="1:13" ht="31.5" customHeight="1">
      <c r="A93" s="301" t="s">
        <v>466</v>
      </c>
      <c r="B93" s="483" t="s">
        <v>379</v>
      </c>
      <c r="C93" s="460" t="s">
        <v>314</v>
      </c>
      <c r="D93" s="303"/>
      <c r="E93" s="304"/>
      <c r="F93" s="320">
        <v>3</v>
      </c>
      <c r="G93" s="322"/>
      <c r="H93" s="291"/>
      <c r="I93" s="292"/>
      <c r="J93" s="299"/>
      <c r="K93" s="299">
        <v>5087.16</v>
      </c>
      <c r="L93" s="299">
        <f t="shared" si="8"/>
        <v>15261.48</v>
      </c>
      <c r="M93" s="297">
        <f t="shared" si="9"/>
        <v>15261.48</v>
      </c>
    </row>
    <row r="94" spans="1:13" ht="25.5">
      <c r="A94" s="301" t="s">
        <v>252</v>
      </c>
      <c r="B94" s="483" t="s">
        <v>380</v>
      </c>
      <c r="C94" s="460" t="s">
        <v>315</v>
      </c>
      <c r="D94" s="303"/>
      <c r="E94" s="304"/>
      <c r="F94" s="320">
        <v>2</v>
      </c>
      <c r="G94" s="322"/>
      <c r="H94" s="291"/>
      <c r="I94" s="292"/>
      <c r="J94" s="299"/>
      <c r="K94" s="299">
        <v>6580.96</v>
      </c>
      <c r="L94" s="299">
        <f t="shared" si="8"/>
        <v>13161.92</v>
      </c>
      <c r="M94" s="297">
        <f t="shared" si="9"/>
        <v>13161.92</v>
      </c>
    </row>
    <row r="95" spans="1:13" ht="25.5">
      <c r="A95" s="301" t="s">
        <v>468</v>
      </c>
      <c r="B95" s="483" t="s">
        <v>362</v>
      </c>
      <c r="C95" s="460" t="s">
        <v>363</v>
      </c>
      <c r="D95" s="303"/>
      <c r="E95" s="304"/>
      <c r="F95" s="320">
        <v>210</v>
      </c>
      <c r="G95" s="322"/>
      <c r="H95" s="291"/>
      <c r="I95" s="292"/>
      <c r="J95" s="299"/>
      <c r="K95" s="299">
        <v>51.44</v>
      </c>
      <c r="L95" s="299">
        <f t="shared" si="8"/>
        <v>10802.4</v>
      </c>
      <c r="M95" s="297">
        <f t="shared" si="9"/>
        <v>10802.4</v>
      </c>
    </row>
    <row r="96" spans="1:13" ht="25.5">
      <c r="A96" s="301" t="s">
        <v>469</v>
      </c>
      <c r="B96" s="484" t="s">
        <v>381</v>
      </c>
      <c r="C96" s="308" t="s">
        <v>246</v>
      </c>
      <c r="D96" s="303" t="s">
        <v>144</v>
      </c>
      <c r="E96" s="304"/>
      <c r="F96" s="320">
        <v>40</v>
      </c>
      <c r="G96" s="322"/>
      <c r="H96" s="291"/>
      <c r="I96" s="292"/>
      <c r="J96" s="299"/>
      <c r="K96" s="299">
        <v>14.05</v>
      </c>
      <c r="L96" s="299">
        <f aca="true" t="shared" si="10" ref="L96:L111">F96*K96</f>
        <v>562</v>
      </c>
      <c r="M96" s="297">
        <f aca="true" t="shared" si="11" ref="M96:M111">I96+L96</f>
        <v>562</v>
      </c>
    </row>
    <row r="97" spans="1:13" ht="25.5">
      <c r="A97" s="301" t="s">
        <v>470</v>
      </c>
      <c r="B97" s="484" t="s">
        <v>374</v>
      </c>
      <c r="C97" s="308" t="s">
        <v>247</v>
      </c>
      <c r="D97" s="303" t="s">
        <v>144</v>
      </c>
      <c r="E97" s="304"/>
      <c r="F97" s="320">
        <v>40</v>
      </c>
      <c r="G97" s="322"/>
      <c r="H97" s="291"/>
      <c r="I97" s="292"/>
      <c r="J97" s="299"/>
      <c r="K97" s="299">
        <v>13.99</v>
      </c>
      <c r="L97" s="299">
        <f t="shared" si="10"/>
        <v>559.6</v>
      </c>
      <c r="M97" s="297">
        <f t="shared" si="11"/>
        <v>559.6</v>
      </c>
    </row>
    <row r="98" spans="1:13" ht="25.5">
      <c r="A98" s="301" t="s">
        <v>471</v>
      </c>
      <c r="B98" s="484" t="s">
        <v>372</v>
      </c>
      <c r="C98" s="308" t="s">
        <v>364</v>
      </c>
      <c r="D98" s="303" t="s">
        <v>144</v>
      </c>
      <c r="E98" s="304"/>
      <c r="F98" s="320">
        <v>40</v>
      </c>
      <c r="G98" s="322"/>
      <c r="H98" s="291"/>
      <c r="I98" s="292"/>
      <c r="J98" s="299"/>
      <c r="K98" s="299">
        <v>14.74</v>
      </c>
      <c r="L98" s="299">
        <f t="shared" si="10"/>
        <v>589.6</v>
      </c>
      <c r="M98" s="297">
        <f t="shared" si="11"/>
        <v>589.6</v>
      </c>
    </row>
    <row r="99" spans="1:13" ht="25.5">
      <c r="A99" s="301" t="s">
        <v>472</v>
      </c>
      <c r="B99" s="484" t="s">
        <v>373</v>
      </c>
      <c r="C99" s="308" t="s">
        <v>371</v>
      </c>
      <c r="D99" s="303"/>
      <c r="E99" s="304"/>
      <c r="F99" s="320">
        <v>30</v>
      </c>
      <c r="G99" s="322"/>
      <c r="H99" s="291"/>
      <c r="I99" s="292"/>
      <c r="J99" s="299"/>
      <c r="K99" s="299">
        <v>14.8</v>
      </c>
      <c r="L99" s="299">
        <f t="shared" si="10"/>
        <v>444</v>
      </c>
      <c r="M99" s="297">
        <f t="shared" si="11"/>
        <v>444</v>
      </c>
    </row>
    <row r="100" spans="1:13" ht="25.5">
      <c r="A100" s="301" t="s">
        <v>473</v>
      </c>
      <c r="B100" s="484" t="s">
        <v>370</v>
      </c>
      <c r="C100" s="308" t="s">
        <v>369</v>
      </c>
      <c r="D100" s="303"/>
      <c r="E100" s="304"/>
      <c r="F100" s="320">
        <v>20</v>
      </c>
      <c r="G100" s="322"/>
      <c r="H100" s="291"/>
      <c r="I100" s="292"/>
      <c r="J100" s="299"/>
      <c r="K100" s="299">
        <v>34.92</v>
      </c>
      <c r="L100" s="299">
        <f t="shared" si="10"/>
        <v>698.4000000000001</v>
      </c>
      <c r="M100" s="297">
        <f t="shared" si="11"/>
        <v>698.4000000000001</v>
      </c>
    </row>
    <row r="101" spans="1:13" ht="27.75" customHeight="1">
      <c r="A101" s="301" t="s">
        <v>474</v>
      </c>
      <c r="B101" s="484" t="s">
        <v>365</v>
      </c>
      <c r="C101" s="308" t="s">
        <v>368</v>
      </c>
      <c r="D101" s="303"/>
      <c r="E101" s="304"/>
      <c r="F101" s="320">
        <v>20</v>
      </c>
      <c r="G101" s="322"/>
      <c r="H101" s="291"/>
      <c r="I101" s="292"/>
      <c r="J101" s="299"/>
      <c r="K101" s="299">
        <v>20.04</v>
      </c>
      <c r="L101" s="299">
        <f t="shared" si="10"/>
        <v>400.79999999999995</v>
      </c>
      <c r="M101" s="297">
        <f t="shared" si="11"/>
        <v>400.79999999999995</v>
      </c>
    </row>
    <row r="102" spans="1:13" ht="25.5">
      <c r="A102" s="301" t="s">
        <v>475</v>
      </c>
      <c r="B102" s="484" t="s">
        <v>366</v>
      </c>
      <c r="C102" s="308" t="s">
        <v>367</v>
      </c>
      <c r="D102" s="303"/>
      <c r="E102" s="304"/>
      <c r="F102" s="320">
        <v>20</v>
      </c>
      <c r="G102" s="322"/>
      <c r="H102" s="291"/>
      <c r="I102" s="292"/>
      <c r="J102" s="299"/>
      <c r="K102" s="299">
        <v>23.92</v>
      </c>
      <c r="L102" s="299">
        <f t="shared" si="10"/>
        <v>478.40000000000003</v>
      </c>
      <c r="M102" s="297">
        <f t="shared" si="11"/>
        <v>478.40000000000003</v>
      </c>
    </row>
    <row r="103" spans="1:13" ht="25.5">
      <c r="A103" s="301" t="s">
        <v>476</v>
      </c>
      <c r="B103" s="483" t="s">
        <v>490</v>
      </c>
      <c r="C103" s="460" t="s">
        <v>316</v>
      </c>
      <c r="D103" s="303"/>
      <c r="E103" s="304"/>
      <c r="F103" s="320">
        <v>20</v>
      </c>
      <c r="G103" s="322"/>
      <c r="H103" s="291"/>
      <c r="I103" s="292"/>
      <c r="J103" s="299"/>
      <c r="K103" s="299">
        <v>3.8</v>
      </c>
      <c r="L103" s="299">
        <f t="shared" si="10"/>
        <v>76</v>
      </c>
      <c r="M103" s="297">
        <f t="shared" si="11"/>
        <v>76</v>
      </c>
    </row>
    <row r="104" spans="1:13" ht="25.5">
      <c r="A104" s="301" t="s">
        <v>477</v>
      </c>
      <c r="B104" s="483" t="s">
        <v>491</v>
      </c>
      <c r="C104" s="460" t="s">
        <v>317</v>
      </c>
      <c r="D104" s="303"/>
      <c r="E104" s="304"/>
      <c r="F104" s="320">
        <v>30</v>
      </c>
      <c r="G104" s="322"/>
      <c r="H104" s="291"/>
      <c r="I104" s="292"/>
      <c r="J104" s="299"/>
      <c r="K104" s="299">
        <v>4.66</v>
      </c>
      <c r="L104" s="299">
        <f t="shared" si="10"/>
        <v>139.8</v>
      </c>
      <c r="M104" s="297">
        <f t="shared" si="11"/>
        <v>139.8</v>
      </c>
    </row>
    <row r="105" spans="1:13" ht="25.5">
      <c r="A105" s="301" t="s">
        <v>478</v>
      </c>
      <c r="B105" s="483" t="s">
        <v>492</v>
      </c>
      <c r="C105" s="460" t="s">
        <v>318</v>
      </c>
      <c r="D105" s="303"/>
      <c r="E105" s="304"/>
      <c r="F105" s="320">
        <v>40</v>
      </c>
      <c r="G105" s="322"/>
      <c r="H105" s="291"/>
      <c r="I105" s="292"/>
      <c r="J105" s="299"/>
      <c r="K105" s="299">
        <v>5.15</v>
      </c>
      <c r="L105" s="299">
        <f t="shared" si="10"/>
        <v>206</v>
      </c>
      <c r="M105" s="297">
        <f t="shared" si="11"/>
        <v>206</v>
      </c>
    </row>
    <row r="106" spans="1:13" ht="38.25">
      <c r="A106" s="301" t="s">
        <v>479</v>
      </c>
      <c r="B106" s="483" t="s">
        <v>493</v>
      </c>
      <c r="C106" s="461" t="s">
        <v>319</v>
      </c>
      <c r="D106" s="303"/>
      <c r="E106" s="304"/>
      <c r="F106" s="320">
        <v>250</v>
      </c>
      <c r="G106" s="322"/>
      <c r="H106" s="291"/>
      <c r="I106" s="292"/>
      <c r="J106" s="299"/>
      <c r="K106" s="299">
        <v>0.46</v>
      </c>
      <c r="L106" s="299">
        <f t="shared" si="10"/>
        <v>115</v>
      </c>
      <c r="M106" s="297">
        <f t="shared" si="11"/>
        <v>115</v>
      </c>
    </row>
    <row r="107" spans="1:13" ht="25.5">
      <c r="A107" s="301" t="s">
        <v>480</v>
      </c>
      <c r="B107" s="483" t="s">
        <v>375</v>
      </c>
      <c r="C107" s="462" t="s">
        <v>320</v>
      </c>
      <c r="D107" s="303"/>
      <c r="E107" s="304"/>
      <c r="F107" s="320">
        <v>30</v>
      </c>
      <c r="G107" s="322"/>
      <c r="H107" s="291"/>
      <c r="I107" s="292"/>
      <c r="J107" s="299"/>
      <c r="K107" s="299">
        <v>323.83</v>
      </c>
      <c r="L107" s="299">
        <f t="shared" si="10"/>
        <v>9714.9</v>
      </c>
      <c r="M107" s="297">
        <f t="shared" si="11"/>
        <v>9714.9</v>
      </c>
    </row>
    <row r="108" spans="1:13" ht="22.5">
      <c r="A108" s="301" t="s">
        <v>481</v>
      </c>
      <c r="B108" s="484" t="s">
        <v>494</v>
      </c>
      <c r="C108" s="308" t="s">
        <v>328</v>
      </c>
      <c r="D108" s="303"/>
      <c r="E108" s="304"/>
      <c r="F108" s="320">
        <v>6</v>
      </c>
      <c r="G108" s="322"/>
      <c r="H108" s="291"/>
      <c r="I108" s="292"/>
      <c r="J108" s="299"/>
      <c r="K108" s="299">
        <v>911.98</v>
      </c>
      <c r="L108" s="299">
        <f t="shared" si="10"/>
        <v>5471.88</v>
      </c>
      <c r="M108" s="297">
        <f t="shared" si="11"/>
        <v>5471.88</v>
      </c>
    </row>
    <row r="109" spans="1:13" ht="22.5">
      <c r="A109" s="301" t="s">
        <v>482</v>
      </c>
      <c r="B109" s="484" t="s">
        <v>439</v>
      </c>
      <c r="C109" s="308" t="s">
        <v>250</v>
      </c>
      <c r="D109" s="303" t="s">
        <v>144</v>
      </c>
      <c r="E109" s="304"/>
      <c r="F109" s="320">
        <v>120</v>
      </c>
      <c r="G109" s="322"/>
      <c r="H109" s="291"/>
      <c r="I109" s="292"/>
      <c r="J109" s="299"/>
      <c r="K109" s="299">
        <v>4.9</v>
      </c>
      <c r="L109" s="299">
        <f t="shared" si="10"/>
        <v>588</v>
      </c>
      <c r="M109" s="297">
        <f t="shared" si="11"/>
        <v>588</v>
      </c>
    </row>
    <row r="110" spans="1:13" ht="22.5">
      <c r="A110" s="301" t="s">
        <v>483</v>
      </c>
      <c r="B110" s="484" t="s">
        <v>497</v>
      </c>
      <c r="C110" s="308" t="s">
        <v>498</v>
      </c>
      <c r="D110" s="303" t="s">
        <v>144</v>
      </c>
      <c r="E110" s="304"/>
      <c r="F110" s="320">
        <v>30</v>
      </c>
      <c r="G110" s="322"/>
      <c r="H110" s="291"/>
      <c r="I110" s="292"/>
      <c r="J110" s="299"/>
      <c r="K110" s="299">
        <v>9.5</v>
      </c>
      <c r="L110" s="299">
        <f t="shared" si="10"/>
        <v>285</v>
      </c>
      <c r="M110" s="297">
        <f t="shared" si="11"/>
        <v>285</v>
      </c>
    </row>
    <row r="111" spans="1:13" ht="22.5">
      <c r="A111" s="301" t="s">
        <v>484</v>
      </c>
      <c r="B111" s="484" t="s">
        <v>499</v>
      </c>
      <c r="C111" s="308" t="s">
        <v>253</v>
      </c>
      <c r="D111" s="303" t="s">
        <v>145</v>
      </c>
      <c r="E111" s="304"/>
      <c r="F111" s="320">
        <v>60</v>
      </c>
      <c r="G111" s="322"/>
      <c r="H111" s="291"/>
      <c r="I111" s="292"/>
      <c r="J111" s="299"/>
      <c r="K111" s="299">
        <v>1.29</v>
      </c>
      <c r="L111" s="299">
        <f t="shared" si="10"/>
        <v>77.4</v>
      </c>
      <c r="M111" s="297">
        <f t="shared" si="11"/>
        <v>77.4</v>
      </c>
    </row>
    <row r="112" spans="1:13" ht="45.75" customHeight="1" thickBot="1">
      <c r="A112" s="301"/>
      <c r="B112" s="487"/>
      <c r="C112" s="333"/>
      <c r="D112" s="303"/>
      <c r="E112" s="304"/>
      <c r="F112" s="334"/>
      <c r="G112" s="322"/>
      <c r="H112" s="291"/>
      <c r="I112" s="293">
        <f>SUM(I68:I111)</f>
        <v>12169.199999999999</v>
      </c>
      <c r="J112" s="335"/>
      <c r="K112" s="293"/>
      <c r="L112" s="293">
        <f>SUM(L69:L111)</f>
        <v>355853.21</v>
      </c>
      <c r="M112" s="319">
        <f>SUM(M68:M111)</f>
        <v>368022.41000000003</v>
      </c>
    </row>
    <row r="113" spans="1:13" ht="12.75">
      <c r="A113" s="336"/>
      <c r="B113" s="474"/>
      <c r="C113" s="337"/>
      <c r="D113" s="338"/>
      <c r="E113" s="339"/>
      <c r="F113" s="340"/>
      <c r="G113" s="340"/>
      <c r="H113" s="340"/>
      <c r="I113" s="341"/>
      <c r="J113" s="341"/>
      <c r="K113" s="341"/>
      <c r="L113" s="341"/>
      <c r="M113" s="342"/>
    </row>
    <row r="114" spans="1:13" ht="12.75">
      <c r="A114" s="343"/>
      <c r="B114" s="475"/>
      <c r="C114" s="344" t="s">
        <v>500</v>
      </c>
      <c r="D114" s="345"/>
      <c r="E114" s="346"/>
      <c r="F114" s="346"/>
      <c r="G114" s="346"/>
      <c r="H114" s="347"/>
      <c r="I114" s="623">
        <f>I112+I66+I50+H40</f>
        <v>1031339.7</v>
      </c>
      <c r="J114" s="348" t="e">
        <f>J50+#REF!</f>
        <v>#REF!</v>
      </c>
      <c r="K114" s="348"/>
      <c r="L114" s="349"/>
      <c r="M114" s="350"/>
    </row>
    <row r="115" spans="1:13" ht="12.75">
      <c r="A115" s="351"/>
      <c r="B115" s="476"/>
      <c r="C115" s="352" t="s">
        <v>501</v>
      </c>
      <c r="D115" s="353"/>
      <c r="E115" s="354"/>
      <c r="F115" s="354"/>
      <c r="G115" s="354"/>
      <c r="H115" s="953"/>
      <c r="I115" s="954"/>
      <c r="J115" s="356"/>
      <c r="K115" s="357"/>
      <c r="L115" s="357">
        <f>L112+L66+L50+L41</f>
        <v>974993.01</v>
      </c>
      <c r="M115" s="358"/>
    </row>
    <row r="116" spans="1:13" ht="12.75">
      <c r="A116" s="351"/>
      <c r="B116" s="476"/>
      <c r="C116" s="352" t="s">
        <v>502</v>
      </c>
      <c r="D116" s="617">
        <v>0.249</v>
      </c>
      <c r="E116" s="354"/>
      <c r="F116" s="354"/>
      <c r="G116" s="354"/>
      <c r="H116" s="355"/>
      <c r="I116" s="356"/>
      <c r="J116" s="356"/>
      <c r="K116" s="357"/>
      <c r="L116" s="624">
        <f>L115+L115*D116</f>
        <v>1217766.26949</v>
      </c>
      <c r="M116" s="358"/>
    </row>
    <row r="117" spans="1:13" ht="12.75">
      <c r="A117" s="351"/>
      <c r="B117" s="476"/>
      <c r="C117" s="352" t="s">
        <v>254</v>
      </c>
      <c r="D117" s="353"/>
      <c r="E117" s="354"/>
      <c r="F117" s="354"/>
      <c r="G117" s="354"/>
      <c r="H117" s="355"/>
      <c r="I117" s="356"/>
      <c r="J117" s="356"/>
      <c r="K117" s="357"/>
      <c r="L117" s="356"/>
      <c r="M117" s="625">
        <f>I114+L116</f>
        <v>2249105.96949</v>
      </c>
    </row>
    <row r="118" spans="1:13" ht="12.75">
      <c r="A118" s="271"/>
      <c r="B118" s="488"/>
      <c r="C118" s="618"/>
      <c r="D118" s="619"/>
      <c r="E118" s="620"/>
      <c r="F118" s="620"/>
      <c r="G118" s="620"/>
      <c r="H118" s="955"/>
      <c r="I118" s="956"/>
      <c r="J118" s="620"/>
      <c r="K118" s="621"/>
      <c r="L118" s="620"/>
      <c r="M118" s="622"/>
    </row>
    <row r="119" spans="3:13" ht="12.75">
      <c r="C119" s="1042" t="s">
        <v>571</v>
      </c>
      <c r="D119" s="1043"/>
      <c r="E119" s="166"/>
      <c r="F119" s="166"/>
      <c r="G119" s="166"/>
      <c r="H119" s="166"/>
      <c r="I119" s="166"/>
      <c r="J119" s="166"/>
      <c r="K119" s="360"/>
      <c r="L119" s="166"/>
      <c r="M119" s="166"/>
    </row>
    <row r="120" spans="3:13" ht="12.75">
      <c r="C120" s="1042" t="s">
        <v>572</v>
      </c>
      <c r="D120" s="1046"/>
      <c r="E120" s="166"/>
      <c r="F120" s="166"/>
      <c r="G120" s="166"/>
      <c r="H120" s="166"/>
      <c r="I120" s="166"/>
      <c r="J120" s="166"/>
      <c r="K120" s="360"/>
      <c r="L120" s="166"/>
      <c r="M120" s="166"/>
    </row>
    <row r="121" spans="3:4" ht="12.75">
      <c r="C121" s="127" t="s">
        <v>573</v>
      </c>
      <c r="D121" s="127"/>
    </row>
  </sheetData>
  <sheetProtection/>
  <mergeCells count="68">
    <mergeCell ref="H9:I9"/>
    <mergeCell ref="C9:C10"/>
    <mergeCell ref="D9:D10"/>
    <mergeCell ref="E9:E10"/>
    <mergeCell ref="F9:G9"/>
    <mergeCell ref="C13:C14"/>
    <mergeCell ref="D13:D14"/>
    <mergeCell ref="E13:E14"/>
    <mergeCell ref="F13:G14"/>
    <mergeCell ref="H13:I14"/>
    <mergeCell ref="J13:J14"/>
    <mergeCell ref="K13:K14"/>
    <mergeCell ref="L13:L14"/>
    <mergeCell ref="C15:M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C44:M44"/>
    <mergeCell ref="F45:G45"/>
    <mergeCell ref="H45:I45"/>
    <mergeCell ref="H41:I41"/>
    <mergeCell ref="F26:G26"/>
    <mergeCell ref="H26:I26"/>
    <mergeCell ref="F28:G28"/>
    <mergeCell ref="H28:I28"/>
    <mergeCell ref="F30:G30"/>
    <mergeCell ref="H30:I30"/>
    <mergeCell ref="F34:G34"/>
    <mergeCell ref="H34:I34"/>
    <mergeCell ref="H115:I115"/>
    <mergeCell ref="H118:I118"/>
    <mergeCell ref="F50:G50"/>
    <mergeCell ref="F51:G51"/>
    <mergeCell ref="H51:I51"/>
    <mergeCell ref="F66:G66"/>
    <mergeCell ref="F67:G67"/>
    <mergeCell ref="H67:I67"/>
    <mergeCell ref="F27:G27"/>
    <mergeCell ref="F29:G29"/>
    <mergeCell ref="F32:G32"/>
    <mergeCell ref="H32:I32"/>
    <mergeCell ref="F33:G33"/>
    <mergeCell ref="H33:I33"/>
    <mergeCell ref="L38:L39"/>
    <mergeCell ref="M38:M39"/>
    <mergeCell ref="F37:G37"/>
    <mergeCell ref="H40:I40"/>
    <mergeCell ref="F35:G35"/>
    <mergeCell ref="H35:I35"/>
    <mergeCell ref="F36:G36"/>
    <mergeCell ref="H36:I36"/>
  </mergeCells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B34" sqref="B34"/>
    </sheetView>
  </sheetViews>
  <sheetFormatPr defaultColWidth="9.140625" defaultRowHeight="12.75"/>
  <cols>
    <col min="1" max="1" width="5.421875" style="103" customWidth="1"/>
    <col min="2" max="2" width="33.57421875" style="103" customWidth="1"/>
    <col min="3" max="3" width="12.8515625" style="378" customWidth="1"/>
    <col min="4" max="4" width="12.7109375" style="378" customWidth="1"/>
    <col min="5" max="5" width="13.00390625" style="378" customWidth="1"/>
    <col min="6" max="6" width="12.421875" style="378" customWidth="1"/>
    <col min="7" max="7" width="11.00390625" style="378" customWidth="1"/>
    <col min="8" max="8" width="12.00390625" style="378" customWidth="1"/>
    <col min="9" max="9" width="12.421875" style="378" customWidth="1"/>
    <col min="10" max="10" width="12.140625" style="378" customWidth="1"/>
    <col min="11" max="11" width="13.7109375" style="378" customWidth="1"/>
    <col min="12" max="16384" width="9.140625" style="103" customWidth="1"/>
  </cols>
  <sheetData>
    <row r="1" spans="1:11" ht="12.75">
      <c r="A1" s="101"/>
      <c r="B1" s="102"/>
      <c r="C1" s="362"/>
      <c r="D1" s="362"/>
      <c r="E1" s="362"/>
      <c r="F1" s="362"/>
      <c r="G1" s="362"/>
      <c r="H1" s="362"/>
      <c r="I1" s="362"/>
      <c r="J1" s="362"/>
      <c r="K1" s="363" t="s">
        <v>255</v>
      </c>
    </row>
    <row r="2" spans="1:11" ht="12.75">
      <c r="A2" s="1001" t="s">
        <v>153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</row>
    <row r="3" spans="1:11" ht="12.75">
      <c r="A3" s="364"/>
      <c r="B3" s="365"/>
      <c r="C3" s="365"/>
      <c r="D3" s="365"/>
      <c r="E3" s="366"/>
      <c r="F3" s="365"/>
      <c r="G3" s="365"/>
      <c r="H3" s="365"/>
      <c r="I3" s="365"/>
      <c r="J3" s="365"/>
      <c r="K3" s="365"/>
    </row>
    <row r="4" spans="1:11" ht="12.75">
      <c r="A4" s="364"/>
      <c r="B4" s="365"/>
      <c r="C4" s="365"/>
      <c r="D4" s="365"/>
      <c r="E4" s="366"/>
      <c r="F4" s="365"/>
      <c r="G4" s="365"/>
      <c r="H4" s="365"/>
      <c r="I4" s="365"/>
      <c r="J4" s="365"/>
      <c r="K4" s="365"/>
    </row>
    <row r="5" spans="1:11" ht="12.75">
      <c r="A5" s="268" t="s">
        <v>121</v>
      </c>
      <c r="B5" s="198" t="s">
        <v>122</v>
      </c>
      <c r="C5" s="365"/>
      <c r="D5" s="365"/>
      <c r="E5" s="366"/>
      <c r="F5" s="365"/>
      <c r="G5" s="365"/>
      <c r="H5" s="365"/>
      <c r="I5" s="365"/>
      <c r="J5" s="365"/>
      <c r="K5" s="365"/>
    </row>
    <row r="6" spans="1:11" ht="12.75">
      <c r="A6" s="268" t="s">
        <v>123</v>
      </c>
      <c r="B6" s="198" t="s">
        <v>197</v>
      </c>
      <c r="C6" s="365"/>
      <c r="D6" s="365"/>
      <c r="E6" s="366"/>
      <c r="F6" s="365"/>
      <c r="G6" s="365"/>
      <c r="H6" s="365"/>
      <c r="I6" s="365"/>
      <c r="J6" s="365"/>
      <c r="K6" s="365"/>
    </row>
    <row r="7" spans="1:11" ht="12.75">
      <c r="A7" s="268"/>
      <c r="B7" s="105"/>
      <c r="C7" s="367"/>
      <c r="D7" s="367"/>
      <c r="E7" s="367"/>
      <c r="F7" s="367"/>
      <c r="G7" s="367"/>
      <c r="H7" s="367"/>
      <c r="I7" s="367"/>
      <c r="J7" s="367"/>
      <c r="K7" s="367"/>
    </row>
    <row r="8" spans="1:11" ht="12.75">
      <c r="A8" s="268"/>
      <c r="B8" s="105"/>
      <c r="C8" s="367"/>
      <c r="D8" s="367"/>
      <c r="E8" s="367"/>
      <c r="F8" s="367"/>
      <c r="G8" s="367"/>
      <c r="H8" s="367"/>
      <c r="I8" s="367"/>
      <c r="J8" s="367"/>
      <c r="K8" s="367"/>
    </row>
    <row r="9" spans="1:11" ht="12.75">
      <c r="A9" s="368"/>
      <c r="B9" s="108"/>
      <c r="C9" s="369"/>
      <c r="D9" s="369"/>
      <c r="E9" s="369"/>
      <c r="F9" s="369"/>
      <c r="G9" s="369"/>
      <c r="H9" s="369"/>
      <c r="I9" s="369"/>
      <c r="J9" s="369"/>
      <c r="K9" s="369"/>
    </row>
    <row r="10" spans="1:11" s="372" customFormat="1" ht="12.75">
      <c r="A10" s="370" t="s">
        <v>154</v>
      </c>
      <c r="B10" s="370" t="s">
        <v>16</v>
      </c>
      <c r="C10" s="371" t="s">
        <v>256</v>
      </c>
      <c r="D10" s="371" t="s">
        <v>257</v>
      </c>
      <c r="E10" s="371" t="s">
        <v>82</v>
      </c>
      <c r="F10" s="371" t="s">
        <v>155</v>
      </c>
      <c r="G10" s="371" t="s">
        <v>156</v>
      </c>
      <c r="H10" s="371" t="s">
        <v>157</v>
      </c>
      <c r="I10" s="371" t="s">
        <v>158</v>
      </c>
      <c r="J10" s="371" t="s">
        <v>159</v>
      </c>
      <c r="K10" s="371" t="s">
        <v>258</v>
      </c>
    </row>
    <row r="11" spans="1:11" ht="25.5">
      <c r="A11" s="373" t="s">
        <v>201</v>
      </c>
      <c r="B11" s="374" t="s">
        <v>202</v>
      </c>
      <c r="C11" s="375"/>
      <c r="D11" s="375"/>
      <c r="E11" s="182"/>
      <c r="F11" s="182"/>
      <c r="G11" s="182"/>
      <c r="H11" s="182"/>
      <c r="I11" s="182"/>
      <c r="J11" s="182"/>
      <c r="K11" s="182"/>
    </row>
    <row r="12" spans="1:11" ht="70.5" customHeight="1">
      <c r="A12" s="376"/>
      <c r="B12" s="377" t="s">
        <v>223</v>
      </c>
      <c r="C12" s="378">
        <v>958324.5</v>
      </c>
      <c r="D12" s="378">
        <f>D13+D13*24.9%</f>
        <v>507047.787</v>
      </c>
      <c r="E12" s="378">
        <f>C12+D12</f>
        <v>1465372.287</v>
      </c>
      <c r="F12" s="378">
        <f>(E12/12)</f>
        <v>122114.35725</v>
      </c>
      <c r="G12" s="378">
        <f>(E12/12)</f>
        <v>122114.35725</v>
      </c>
      <c r="H12" s="378">
        <f>(E12/12)</f>
        <v>122114.35725</v>
      </c>
      <c r="I12" s="378">
        <f>(E12/12)</f>
        <v>122114.35725</v>
      </c>
      <c r="J12" s="378">
        <f>(E12/12)</f>
        <v>122114.35725</v>
      </c>
      <c r="K12" s="378">
        <f>E12/12</f>
        <v>122114.35725</v>
      </c>
    </row>
    <row r="13" spans="1:11" ht="15.75" customHeight="1">
      <c r="A13" s="379" t="s">
        <v>445</v>
      </c>
      <c r="B13" s="380"/>
      <c r="C13" s="381"/>
      <c r="D13" s="626">
        <f>'ANEXO V Plan'!L41</f>
        <v>405963</v>
      </c>
      <c r="E13" s="381"/>
      <c r="F13" s="381"/>
      <c r="G13" s="381"/>
      <c r="H13" s="381"/>
      <c r="I13" s="381"/>
      <c r="J13" s="381"/>
      <c r="K13" s="381"/>
    </row>
    <row r="14" spans="1:11" ht="89.25">
      <c r="A14" s="382"/>
      <c r="B14" s="288" t="str">
        <f>'[1]PLANILHA'!B48</f>
        <v>MOBILIZAÇAÕ DE MÃO DE OBRA PARA IMPLATAÇÃO E MANUTENÇÃO DE APARELHOS DE ILUMINAÇÃO PÚBLICA POR PROFISSIONAIS ESPECIALIZADOS EM POSTES TELECÔNCIOS E CONCRETO.</v>
      </c>
      <c r="C14" s="383">
        <f>'ANEXO V Plan'!I50+'ANEXO V Plan'!I66+'ANEXO V Plan'!I112</f>
        <v>73015.2</v>
      </c>
      <c r="D14" s="182">
        <f>D15+D15*24.9%</f>
        <v>710718.4824900001</v>
      </c>
      <c r="E14" s="182">
        <f>C14+D14</f>
        <v>783733.68249</v>
      </c>
      <c r="F14" s="182">
        <f>(E14/12)</f>
        <v>65311.1402075</v>
      </c>
      <c r="G14" s="182">
        <f>(E14/12)</f>
        <v>65311.1402075</v>
      </c>
      <c r="H14" s="182">
        <f>(E14/12)</f>
        <v>65311.1402075</v>
      </c>
      <c r="I14" s="182">
        <f>(E14/12)</f>
        <v>65311.1402075</v>
      </c>
      <c r="J14" s="182">
        <f>(E14/12)</f>
        <v>65311.1402075</v>
      </c>
      <c r="K14" s="182">
        <f>E14/12</f>
        <v>65311.1402075</v>
      </c>
    </row>
    <row r="15" spans="1:4" ht="12.75">
      <c r="A15" s="379"/>
      <c r="B15" s="384" t="s">
        <v>504</v>
      </c>
      <c r="D15" s="627">
        <f>'ANEXO V Plan'!L50+'ANEXO V Plan'!L66+'ANEXO V Plan'!L112</f>
        <v>569030.01</v>
      </c>
    </row>
    <row r="16" spans="1:11" ht="12.75">
      <c r="A16" s="373"/>
      <c r="B16" s="288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2" ht="12.75">
      <c r="A17" s="385"/>
      <c r="B17" s="386"/>
    </row>
    <row r="18" spans="1:4" ht="12.75">
      <c r="A18" s="387"/>
      <c r="B18" s="388" t="s">
        <v>259</v>
      </c>
      <c r="C18" s="389">
        <f>SUM(C12:C14)</f>
        <v>1031339.7</v>
      </c>
      <c r="D18" s="390"/>
    </row>
    <row r="19" spans="1:4" ht="12.75">
      <c r="A19" s="391"/>
      <c r="B19" s="392" t="s">
        <v>260</v>
      </c>
      <c r="C19" s="393"/>
      <c r="D19" s="389">
        <f>D12+D14</f>
        <v>1217766.26949</v>
      </c>
    </row>
    <row r="20" spans="1:4" ht="12.75">
      <c r="A20" s="394"/>
      <c r="B20" s="395"/>
      <c r="C20" s="390"/>
      <c r="D20" s="390"/>
    </row>
    <row r="21" spans="1:11" ht="12.75">
      <c r="A21" s="396"/>
      <c r="B21" s="10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1" ht="12.75">
      <c r="A22" s="397"/>
      <c r="B22" s="398" t="s">
        <v>261</v>
      </c>
      <c r="C22" s="399"/>
      <c r="D22" s="400"/>
      <c r="E22" s="399">
        <f>SUM(E14+E12)</f>
        <v>2249105.96949</v>
      </c>
      <c r="F22" s="401"/>
      <c r="G22" s="399"/>
      <c r="H22" s="399"/>
      <c r="I22" s="399"/>
      <c r="J22" s="399"/>
      <c r="K22" s="399"/>
    </row>
    <row r="23" spans="1:11" ht="12.75">
      <c r="A23" s="1003" t="s">
        <v>262</v>
      </c>
      <c r="B23" s="1003"/>
      <c r="C23" s="1003"/>
      <c r="D23" s="1003"/>
      <c r="E23" s="1003"/>
      <c r="F23" s="402">
        <f>F16+F14+F12</f>
        <v>187425.4974575</v>
      </c>
      <c r="G23" s="402">
        <f>SUM(G12:G17)</f>
        <v>187425.4974575</v>
      </c>
      <c r="H23" s="402">
        <f>SUM(H12:H16)</f>
        <v>187425.4974575</v>
      </c>
      <c r="I23" s="402">
        <f>SUM(I12:I16)</f>
        <v>187425.4974575</v>
      </c>
      <c r="J23" s="402">
        <f>SUM(J12:J16)</f>
        <v>187425.4974575</v>
      </c>
      <c r="K23" s="402">
        <f>SUM(K12:K16)</f>
        <v>187425.4974575</v>
      </c>
    </row>
    <row r="24" spans="1:11" ht="12.75">
      <c r="A24" s="1003"/>
      <c r="B24" s="1003"/>
      <c r="C24" s="1003"/>
      <c r="D24" s="1003"/>
      <c r="E24" s="1003"/>
      <c r="F24" s="402">
        <f>F23</f>
        <v>187425.4974575</v>
      </c>
      <c r="G24" s="402">
        <f>F24+G23</f>
        <v>374850.994915</v>
      </c>
      <c r="H24" s="402">
        <f>G24+H23</f>
        <v>562276.4923725</v>
      </c>
      <c r="I24" s="402">
        <f>H24+I23</f>
        <v>749701.98983</v>
      </c>
      <c r="J24" s="402">
        <f>I24+J23</f>
        <v>937127.4872875</v>
      </c>
      <c r="K24" s="402">
        <f>J24+K23</f>
        <v>1124552.984745</v>
      </c>
    </row>
    <row r="25" spans="1:11" ht="12.75">
      <c r="A25" s="403"/>
      <c r="B25" s="1042" t="s">
        <v>571</v>
      </c>
      <c r="C25" s="1043"/>
      <c r="D25" s="404"/>
      <c r="E25" s="404"/>
      <c r="F25" s="404"/>
      <c r="G25" s="404"/>
      <c r="H25" s="404"/>
      <c r="I25" s="404"/>
      <c r="J25" s="404"/>
      <c r="K25" s="404"/>
    </row>
    <row r="26" spans="2:3" ht="12.75">
      <c r="B26" s="1042" t="s">
        <v>572</v>
      </c>
      <c r="C26" s="1046"/>
    </row>
    <row r="27" spans="2:3" ht="12.75">
      <c r="B27" s="127" t="s">
        <v>573</v>
      </c>
      <c r="C27" s="127"/>
    </row>
  </sheetData>
  <sheetProtection/>
  <mergeCells count="3">
    <mergeCell ref="A2:K2"/>
    <mergeCell ref="A23:E23"/>
    <mergeCell ref="A24:E24"/>
  </mergeCells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B20" sqref="B20:C22"/>
    </sheetView>
  </sheetViews>
  <sheetFormatPr defaultColWidth="9.140625" defaultRowHeight="12.75"/>
  <cols>
    <col min="1" max="1" width="6.28125" style="103" customWidth="1"/>
    <col min="2" max="2" width="37.00390625" style="103" customWidth="1"/>
    <col min="3" max="3" width="13.421875" style="378" customWidth="1"/>
    <col min="4" max="4" width="12.7109375" style="378" customWidth="1"/>
    <col min="5" max="6" width="13.140625" style="378" customWidth="1"/>
    <col min="7" max="7" width="12.8515625" style="378" customWidth="1"/>
    <col min="8" max="8" width="13.00390625" style="378" customWidth="1"/>
    <col min="9" max="16384" width="9.140625" style="103" customWidth="1"/>
  </cols>
  <sheetData>
    <row r="1" spans="1:8" ht="12.75">
      <c r="A1" s="101"/>
      <c r="B1" s="102"/>
      <c r="C1" s="362"/>
      <c r="D1" s="362"/>
      <c r="E1" s="362"/>
      <c r="F1" s="362"/>
      <c r="G1" s="362"/>
      <c r="H1" s="362"/>
    </row>
    <row r="2" spans="1:8" ht="12.75">
      <c r="A2" s="1001" t="s">
        <v>153</v>
      </c>
      <c r="B2" s="1002"/>
      <c r="C2" s="1002"/>
      <c r="D2" s="1002"/>
      <c r="E2" s="1002"/>
      <c r="F2" s="1002"/>
      <c r="G2" s="1002"/>
      <c r="H2" s="1002"/>
    </row>
    <row r="3" spans="1:8" ht="12.75">
      <c r="A3" s="364"/>
      <c r="B3" s="365"/>
      <c r="C3" s="365"/>
      <c r="D3" s="365"/>
      <c r="E3" s="365"/>
      <c r="F3" s="365"/>
      <c r="G3" s="365"/>
      <c r="H3" s="365"/>
    </row>
    <row r="4" spans="1:8" ht="12.75">
      <c r="A4" s="364"/>
      <c r="B4" s="365"/>
      <c r="C4" s="365"/>
      <c r="D4" s="365"/>
      <c r="E4" s="365"/>
      <c r="F4" s="365"/>
      <c r="G4" s="365"/>
      <c r="H4" s="365" t="s">
        <v>263</v>
      </c>
    </row>
    <row r="5" spans="1:8" ht="12.75">
      <c r="A5" s="268" t="s">
        <v>121</v>
      </c>
      <c r="B5" s="198" t="s">
        <v>122</v>
      </c>
      <c r="C5" s="365"/>
      <c r="D5" s="365"/>
      <c r="E5" s="365"/>
      <c r="F5" s="365"/>
      <c r="G5" s="365"/>
      <c r="H5" s="365"/>
    </row>
    <row r="6" spans="1:8" ht="12.75">
      <c r="A6" s="268" t="s">
        <v>123</v>
      </c>
      <c r="B6" s="198" t="s">
        <v>197</v>
      </c>
      <c r="C6" s="365"/>
      <c r="D6" s="365"/>
      <c r="E6" s="365"/>
      <c r="F6" s="365"/>
      <c r="G6" s="365"/>
      <c r="H6" s="365"/>
    </row>
    <row r="7" spans="1:8" ht="12.75">
      <c r="A7" s="268"/>
      <c r="B7" s="105"/>
      <c r="C7" s="367"/>
      <c r="D7" s="367"/>
      <c r="E7" s="367"/>
      <c r="F7" s="367"/>
      <c r="G7" s="367"/>
      <c r="H7" s="367"/>
    </row>
    <row r="8" spans="1:8" ht="12.75">
      <c r="A8" s="268"/>
      <c r="B8" s="105"/>
      <c r="C8" s="367"/>
      <c r="D8" s="367"/>
      <c r="E8" s="367"/>
      <c r="F8" s="367"/>
      <c r="G8" s="367"/>
      <c r="H8" s="367"/>
    </row>
    <row r="9" spans="1:8" ht="12.75">
      <c r="A9" s="368"/>
      <c r="B9" s="108"/>
      <c r="C9" s="369"/>
      <c r="D9" s="369"/>
      <c r="E9" s="369"/>
      <c r="F9" s="369"/>
      <c r="G9" s="369"/>
      <c r="H9" s="369"/>
    </row>
    <row r="10" spans="1:8" s="372" customFormat="1" ht="12.75">
      <c r="A10" s="370" t="s">
        <v>154</v>
      </c>
      <c r="B10" s="370" t="s">
        <v>16</v>
      </c>
      <c r="C10" s="371" t="s">
        <v>264</v>
      </c>
      <c r="D10" s="371" t="s">
        <v>265</v>
      </c>
      <c r="E10" s="371" t="s">
        <v>266</v>
      </c>
      <c r="F10" s="371" t="s">
        <v>267</v>
      </c>
      <c r="G10" s="371" t="s">
        <v>268</v>
      </c>
      <c r="H10" s="371" t="s">
        <v>269</v>
      </c>
    </row>
    <row r="11" spans="1:8" ht="25.5">
      <c r="A11" s="373" t="s">
        <v>201</v>
      </c>
      <c r="B11" s="374" t="s">
        <v>202</v>
      </c>
      <c r="C11" s="182"/>
      <c r="D11" s="182"/>
      <c r="E11" s="182"/>
      <c r="F11" s="182"/>
      <c r="G11" s="182"/>
      <c r="H11" s="182"/>
    </row>
    <row r="12" spans="1:8" ht="70.5" customHeight="1">
      <c r="A12" s="376" t="s">
        <v>138</v>
      </c>
      <c r="B12" s="377" t="s">
        <v>223</v>
      </c>
      <c r="C12" s="378">
        <f>'ANEXO VI CRON I'!E12/12</f>
        <v>122114.35725</v>
      </c>
      <c r="D12" s="378">
        <f>'ANEXO VI CRON I'!E12/12</f>
        <v>122114.35725</v>
      </c>
      <c r="E12" s="378">
        <f>'ANEXO VI CRON I'!E12/12</f>
        <v>122114.35725</v>
      </c>
      <c r="F12" s="378">
        <f>'ANEXO VI CRON I'!E12/12</f>
        <v>122114.35725</v>
      </c>
      <c r="G12" s="378">
        <f>'ANEXO VI CRON I'!E12/12</f>
        <v>122114.35725</v>
      </c>
      <c r="H12" s="378">
        <f>'ANEXO VI CRON I'!E12/12</f>
        <v>122114.35725</v>
      </c>
    </row>
    <row r="13" spans="1:8" ht="15.75" customHeight="1">
      <c r="A13" s="379"/>
      <c r="B13" s="380"/>
      <c r="C13" s="381"/>
      <c r="D13" s="381"/>
      <c r="E13" s="381"/>
      <c r="F13" s="381"/>
      <c r="G13" s="381"/>
      <c r="H13" s="381"/>
    </row>
    <row r="14" spans="1:8" ht="76.5">
      <c r="A14" s="382" t="s">
        <v>215</v>
      </c>
      <c r="B14" s="288" t="s">
        <v>270</v>
      </c>
      <c r="C14" s="182">
        <f>'ANEXO VI CRON I'!E14/12</f>
        <v>65311.1402075</v>
      </c>
      <c r="D14" s="182">
        <f>'ANEXO VI CRON I'!E14/12</f>
        <v>65311.1402075</v>
      </c>
      <c r="E14" s="182">
        <f>'ANEXO VI CRON I'!E14/12</f>
        <v>65311.1402075</v>
      </c>
      <c r="F14" s="182">
        <f>'ANEXO VI CRON I'!E14/12</f>
        <v>65311.1402075</v>
      </c>
      <c r="G14" s="182">
        <f>'ANEXO VI CRON I'!E14/12</f>
        <v>65311.1402075</v>
      </c>
      <c r="H14" s="182">
        <f>'ANEXO VI CRON I'!E14/12</f>
        <v>65311.1402075</v>
      </c>
    </row>
    <row r="15" spans="1:2" ht="12.75">
      <c r="A15" s="379"/>
      <c r="B15" s="384"/>
    </row>
    <row r="16" spans="1:8" ht="12.75">
      <c r="A16" s="396"/>
      <c r="B16" s="102"/>
      <c r="C16" s="362"/>
      <c r="D16" s="362"/>
      <c r="E16" s="362"/>
      <c r="F16" s="362"/>
      <c r="G16" s="362"/>
      <c r="H16" s="362"/>
    </row>
    <row r="17" spans="1:8" ht="12.75">
      <c r="A17" s="397"/>
      <c r="B17" s="398" t="s">
        <v>261</v>
      </c>
      <c r="C17" s="401"/>
      <c r="D17" s="399"/>
      <c r="E17" s="399"/>
      <c r="F17" s="399"/>
      <c r="G17" s="399"/>
      <c r="H17" s="399"/>
    </row>
    <row r="18" spans="1:8" ht="12.75">
      <c r="A18" s="1003" t="s">
        <v>262</v>
      </c>
      <c r="B18" s="1003"/>
      <c r="C18" s="402">
        <f aca="true" t="shared" si="0" ref="C18:H18">SUM(C12:C15)</f>
        <v>187425.4974575</v>
      </c>
      <c r="D18" s="402">
        <f t="shared" si="0"/>
        <v>187425.4974575</v>
      </c>
      <c r="E18" s="402">
        <f t="shared" si="0"/>
        <v>187425.4974575</v>
      </c>
      <c r="F18" s="402">
        <f t="shared" si="0"/>
        <v>187425.4974575</v>
      </c>
      <c r="G18" s="402">
        <f t="shared" si="0"/>
        <v>187425.4974575</v>
      </c>
      <c r="H18" s="402">
        <f t="shared" si="0"/>
        <v>187425.4974575</v>
      </c>
    </row>
    <row r="19" spans="1:8" ht="12.75">
      <c r="A19" s="1003"/>
      <c r="B19" s="1003"/>
      <c r="C19" s="402">
        <f>'ANEXO VI CRON I'!K24+'ANEXO VII CRON II'!C18</f>
        <v>1311978.4822025</v>
      </c>
      <c r="D19" s="402">
        <f>C19+D18</f>
        <v>1499403.9796600002</v>
      </c>
      <c r="E19" s="402">
        <f>D19+E18</f>
        <v>1686829.4771175003</v>
      </c>
      <c r="F19" s="402">
        <f>E19+F18</f>
        <v>1874254.9745750003</v>
      </c>
      <c r="G19" s="402">
        <f>F19+G18</f>
        <v>2061680.4720325004</v>
      </c>
      <c r="H19" s="402">
        <f>G19+H18</f>
        <v>2249105.9694900005</v>
      </c>
    </row>
    <row r="20" spans="1:8" ht="12.75">
      <c r="A20" s="403"/>
      <c r="B20" s="1042" t="s">
        <v>571</v>
      </c>
      <c r="C20" s="1043"/>
      <c r="D20" s="404"/>
      <c r="E20" s="404"/>
      <c r="F20" s="404"/>
      <c r="G20" s="404"/>
      <c r="H20" s="404"/>
    </row>
    <row r="21" spans="2:3" ht="12.75">
      <c r="B21" s="1042" t="s">
        <v>572</v>
      </c>
      <c r="C21" s="1046"/>
    </row>
    <row r="22" spans="2:3" ht="12.75">
      <c r="B22" s="127" t="s">
        <v>573</v>
      </c>
      <c r="C22" s="127"/>
    </row>
  </sheetData>
  <sheetProtection/>
  <mergeCells count="3">
    <mergeCell ref="A2:H2"/>
    <mergeCell ref="A18:B18"/>
    <mergeCell ref="A19:B19"/>
  </mergeCells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315"/>
  <sheetViews>
    <sheetView zoomScalePageLayoutView="0" workbookViewId="0" topLeftCell="B44">
      <selection activeCell="B63" sqref="B63:C65"/>
    </sheetView>
  </sheetViews>
  <sheetFormatPr defaultColWidth="9.140625" defaultRowHeight="12.75"/>
  <cols>
    <col min="1" max="1" width="2.28125" style="638" hidden="1" customWidth="1"/>
    <col min="2" max="2" width="40.140625" style="638" customWidth="1"/>
    <col min="3" max="3" width="17.00390625" style="638" customWidth="1"/>
    <col min="4" max="6" width="14.7109375" style="638" customWidth="1"/>
    <col min="7" max="7" width="2.28125" style="638" customWidth="1"/>
    <col min="8" max="8" width="0.13671875" style="638" customWidth="1"/>
    <col min="9" max="9" width="18.140625" style="638" hidden="1" customWidth="1"/>
    <col min="10" max="10" width="5.140625" style="638" customWidth="1"/>
    <col min="11" max="12" width="9.140625" style="638" customWidth="1"/>
    <col min="13" max="13" width="18.7109375" style="638" customWidth="1"/>
    <col min="14" max="14" width="0" style="638" hidden="1" customWidth="1"/>
    <col min="15" max="15" width="15.421875" style="638" hidden="1" customWidth="1"/>
    <col min="16" max="16" width="41.7109375" style="638" hidden="1" customWidth="1"/>
    <col min="17" max="17" width="18.8515625" style="638" hidden="1" customWidth="1"/>
    <col min="18" max="24" width="11.7109375" style="638" hidden="1" customWidth="1"/>
    <col min="25" max="37" width="0" style="638" hidden="1" customWidth="1"/>
    <col min="38" max="38" width="13.8515625" style="638" hidden="1" customWidth="1"/>
    <col min="39" max="39" width="38.7109375" style="638" hidden="1" customWidth="1"/>
    <col min="40" max="40" width="11.8515625" style="638" hidden="1" customWidth="1"/>
    <col min="41" max="41" width="8.7109375" style="638" hidden="1" customWidth="1"/>
    <col min="42" max="42" width="11.8515625" style="638" hidden="1" customWidth="1"/>
    <col min="43" max="43" width="9.28125" style="638" hidden="1" customWidth="1"/>
    <col min="44" max="44" width="11.8515625" style="638" hidden="1" customWidth="1"/>
    <col min="45" max="45" width="0.9921875" style="638" hidden="1" customWidth="1"/>
    <col min="46" max="46" width="9.140625" style="638" customWidth="1"/>
    <col min="47" max="47" width="13.28125" style="638" bestFit="1" customWidth="1"/>
    <col min="48" max="71" width="9.140625" style="638" customWidth="1"/>
    <col min="72" max="72" width="22.7109375" style="638" bestFit="1" customWidth="1"/>
    <col min="73" max="73" width="29.00390625" style="638" customWidth="1"/>
    <col min="74" max="74" width="9.57421875" style="638" customWidth="1"/>
    <col min="75" max="75" width="11.57421875" style="638" customWidth="1"/>
    <col min="76" max="76" width="10.7109375" style="638" customWidth="1"/>
    <col min="77" max="77" width="9.140625" style="638" customWidth="1"/>
    <col min="78" max="81" width="2.421875" style="638" customWidth="1"/>
    <col min="82" max="82" width="4.8515625" style="638" bestFit="1" customWidth="1"/>
    <col min="83" max="83" width="29.421875" style="638" bestFit="1" customWidth="1"/>
    <col min="84" max="84" width="17.00390625" style="638" bestFit="1" customWidth="1"/>
    <col min="85" max="85" width="14.421875" style="638" bestFit="1" customWidth="1"/>
    <col min="86" max="86" width="17.00390625" style="638" bestFit="1" customWidth="1"/>
    <col min="87" max="87" width="8.8515625" style="638" customWidth="1"/>
    <col min="88" max="97" width="2.421875" style="638" customWidth="1"/>
    <col min="98" max="16384" width="9.140625" style="638" customWidth="1"/>
  </cols>
  <sheetData>
    <row r="1" spans="1:7" ht="12.75" customHeight="1">
      <c r="A1" s="635"/>
      <c r="B1" s="636"/>
      <c r="C1" s="636"/>
      <c r="D1" s="636"/>
      <c r="E1" s="636"/>
      <c r="F1" s="636"/>
      <c r="G1" s="637"/>
    </row>
    <row r="2" spans="1:7" ht="12.75" customHeight="1">
      <c r="A2" s="734" t="s">
        <v>121</v>
      </c>
      <c r="B2" s="198" t="s">
        <v>569</v>
      </c>
      <c r="C2" s="198" t="s">
        <v>122</v>
      </c>
      <c r="D2" s="639"/>
      <c r="E2" s="639"/>
      <c r="F2" s="639"/>
      <c r="G2" s="640"/>
    </row>
    <row r="3" spans="1:7" ht="12.75" customHeight="1">
      <c r="A3" s="407" t="s">
        <v>123</v>
      </c>
      <c r="B3" s="198" t="s">
        <v>570</v>
      </c>
      <c r="C3" s="198" t="s">
        <v>197</v>
      </c>
      <c r="D3" s="641"/>
      <c r="E3" s="641"/>
      <c r="F3" s="641"/>
      <c r="G3" s="642"/>
    </row>
    <row r="4" spans="1:7" ht="13.5" thickBot="1">
      <c r="A4" s="643"/>
      <c r="B4" s="644"/>
      <c r="C4" s="644"/>
      <c r="D4" s="644"/>
      <c r="E4" s="644"/>
      <c r="F4" s="644"/>
      <c r="G4" s="645"/>
    </row>
    <row r="5" spans="1:7" ht="15" customHeight="1" thickBot="1" thickTop="1">
      <c r="A5" s="646"/>
      <c r="B5" s="1004" t="s">
        <v>511</v>
      </c>
      <c r="C5" s="1004"/>
      <c r="D5" s="1004"/>
      <c r="E5" s="1004"/>
      <c r="F5" s="1004"/>
      <c r="G5" s="647"/>
    </row>
    <row r="6" spans="1:10" s="651" customFormat="1" ht="17.25" thickBot="1" thickTop="1">
      <c r="A6" s="648"/>
      <c r="B6" s="649"/>
      <c r="C6" s="649"/>
      <c r="D6" s="649"/>
      <c r="E6" s="649"/>
      <c r="F6" s="649"/>
      <c r="G6" s="650"/>
      <c r="H6" s="638"/>
      <c r="I6" s="638"/>
      <c r="J6" s="638"/>
    </row>
    <row r="7" spans="1:10" s="651" customFormat="1" ht="15.75">
      <c r="A7" s="652"/>
      <c r="B7" s="653"/>
      <c r="C7" s="653"/>
      <c r="D7" s="653"/>
      <c r="E7" s="653"/>
      <c r="F7" s="653"/>
      <c r="G7" s="654"/>
      <c r="H7" s="638"/>
      <c r="I7" s="638"/>
      <c r="J7" s="638"/>
    </row>
    <row r="8" spans="1:7" ht="12.75" customHeight="1">
      <c r="A8" s="648"/>
      <c r="B8" s="1005" t="s">
        <v>512</v>
      </c>
      <c r="C8" s="1005"/>
      <c r="D8" s="1005"/>
      <c r="E8" s="1005"/>
      <c r="F8" s="1005"/>
      <c r="G8" s="650"/>
    </row>
    <row r="9" spans="1:7" ht="12.75">
      <c r="A9" s="648"/>
      <c r="B9" s="655"/>
      <c r="C9" s="655"/>
      <c r="D9" s="655"/>
      <c r="E9" s="655"/>
      <c r="F9" s="655"/>
      <c r="G9" s="650"/>
    </row>
    <row r="10" spans="1:7" ht="27" customHeight="1">
      <c r="A10" s="648"/>
      <c r="B10" s="656" t="s">
        <v>513</v>
      </c>
      <c r="C10" s="1006" t="s">
        <v>514</v>
      </c>
      <c r="D10" s="1007"/>
      <c r="E10" s="1007"/>
      <c r="F10" s="1008"/>
      <c r="G10" s="650"/>
    </row>
    <row r="11" spans="1:8" ht="12.75">
      <c r="A11" s="648"/>
      <c r="B11" s="655"/>
      <c r="C11" s="657"/>
      <c r="D11" s="657"/>
      <c r="E11" s="657"/>
      <c r="F11" s="657"/>
      <c r="G11" s="650"/>
      <c r="H11" s="651"/>
    </row>
    <row r="12" spans="1:11" ht="12.75">
      <c r="A12" s="648"/>
      <c r="B12" s="656" t="s">
        <v>515</v>
      </c>
      <c r="C12" s="657"/>
      <c r="D12" s="657"/>
      <c r="E12" s="657"/>
      <c r="F12" s="658" t="s">
        <v>516</v>
      </c>
      <c r="G12" s="650"/>
      <c r="H12" s="651"/>
      <c r="K12" s="659">
        <f>IF(F12="","PREENCHER SE A OBRA POSSUI FOLHA DE PAGAMENTO DESONERADA","")</f>
      </c>
    </row>
    <row r="13" spans="1:8" ht="12.75">
      <c r="A13" s="648"/>
      <c r="B13" s="660" t="s">
        <v>517</v>
      </c>
      <c r="C13" s="657"/>
      <c r="D13" s="657"/>
      <c r="E13" s="657"/>
      <c r="F13" s="657"/>
      <c r="G13" s="650"/>
      <c r="H13" s="651"/>
    </row>
    <row r="14" spans="1:8" ht="12.75">
      <c r="A14" s="648"/>
      <c r="B14" s="655"/>
      <c r="C14" s="655"/>
      <c r="D14" s="655"/>
      <c r="E14" s="661"/>
      <c r="F14" s="655"/>
      <c r="G14" s="650"/>
      <c r="H14" s="651"/>
    </row>
    <row r="15" spans="1:8" ht="12.75">
      <c r="A15" s="648"/>
      <c r="B15" s="655" t="s">
        <v>518</v>
      </c>
      <c r="C15" s="655"/>
      <c r="D15" s="655"/>
      <c r="E15" s="661"/>
      <c r="F15" s="655"/>
      <c r="G15" s="650"/>
      <c r="H15" s="651"/>
    </row>
    <row r="16" spans="1:8" ht="83.25" customHeight="1">
      <c r="A16" s="648"/>
      <c r="B16" s="1009" t="str">
        <f>IF(C10="","",VLOOKUP(BU298,BV260:BW265,2,0))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6" s="1010"/>
      <c r="D16" s="1010"/>
      <c r="E16" s="1010"/>
      <c r="F16" s="1011"/>
      <c r="G16" s="650"/>
      <c r="H16" s="651"/>
    </row>
    <row r="17" spans="1:8" ht="12.75">
      <c r="A17" s="648"/>
      <c r="B17" s="655"/>
      <c r="C17" s="655"/>
      <c r="D17" s="655"/>
      <c r="E17" s="661"/>
      <c r="F17" s="655"/>
      <c r="G17" s="650"/>
      <c r="H17" s="651"/>
    </row>
    <row r="18" spans="1:8" ht="12.75">
      <c r="A18" s="648"/>
      <c r="B18" s="655" t="s">
        <v>519</v>
      </c>
      <c r="C18" s="655"/>
      <c r="D18" s="655"/>
      <c r="E18" s="661"/>
      <c r="F18" s="655"/>
      <c r="G18" s="650"/>
      <c r="H18" s="651"/>
    </row>
    <row r="19" spans="1:8" ht="5.25" customHeight="1">
      <c r="A19" s="648"/>
      <c r="B19" s="655"/>
      <c r="C19" s="655"/>
      <c r="D19" s="655"/>
      <c r="E19" s="661"/>
      <c r="F19" s="655"/>
      <c r="G19" s="650"/>
      <c r="H19" s="651"/>
    </row>
    <row r="20" spans="1:48" ht="12.75">
      <c r="A20" s="648"/>
      <c r="B20" s="655" t="s">
        <v>520</v>
      </c>
      <c r="C20" s="655"/>
      <c r="D20" s="1012">
        <v>0.0365</v>
      </c>
      <c r="E20" s="1012"/>
      <c r="F20" s="1012"/>
      <c r="G20" s="650"/>
      <c r="H20" s="651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3"/>
      <c r="AJ20" s="1013"/>
      <c r="AK20" s="1013"/>
      <c r="AL20" s="1013"/>
      <c r="AM20" s="1013"/>
      <c r="AN20" s="1013"/>
      <c r="AO20" s="1013"/>
      <c r="AP20" s="1013"/>
      <c r="AQ20" s="1013"/>
      <c r="AR20" s="1013"/>
      <c r="AS20" s="1013"/>
      <c r="AT20" s="1013"/>
      <c r="AU20" s="1013"/>
      <c r="AV20" s="1013"/>
    </row>
    <row r="21" spans="1:48" ht="6" customHeight="1">
      <c r="A21" s="648"/>
      <c r="B21" s="655"/>
      <c r="C21" s="655"/>
      <c r="D21" s="655"/>
      <c r="E21" s="662"/>
      <c r="F21" s="662"/>
      <c r="G21" s="650"/>
      <c r="H21" s="651"/>
      <c r="K21" s="1013"/>
      <c r="L21" s="1013"/>
      <c r="M21" s="1013"/>
      <c r="N21" s="1013"/>
      <c r="O21" s="1013"/>
      <c r="P21" s="1013"/>
      <c r="Q21" s="1013"/>
      <c r="R21" s="1013"/>
      <c r="S21" s="1013"/>
      <c r="T21" s="1013"/>
      <c r="U21" s="1013"/>
      <c r="V21" s="1013"/>
      <c r="W21" s="1013"/>
      <c r="X21" s="1013"/>
      <c r="Y21" s="1013"/>
      <c r="Z21" s="1013"/>
      <c r="AA21" s="1013"/>
      <c r="AB21" s="1013"/>
      <c r="AC21" s="1013"/>
      <c r="AD21" s="1013"/>
      <c r="AE21" s="1013"/>
      <c r="AF21" s="1013"/>
      <c r="AG21" s="1013"/>
      <c r="AH21" s="1013"/>
      <c r="AI21" s="1013"/>
      <c r="AJ21" s="1013"/>
      <c r="AK21" s="1013"/>
      <c r="AL21" s="1013"/>
      <c r="AM21" s="1013"/>
      <c r="AN21" s="1013"/>
      <c r="AO21" s="1013"/>
      <c r="AP21" s="1013"/>
      <c r="AQ21" s="1013"/>
      <c r="AR21" s="1013"/>
      <c r="AS21" s="1013"/>
      <c r="AT21" s="1013"/>
      <c r="AU21" s="1013"/>
      <c r="AV21" s="1013"/>
    </row>
    <row r="22" spans="1:11" ht="24.75" customHeight="1">
      <c r="A22" s="648"/>
      <c r="B22" s="655" t="s">
        <v>521</v>
      </c>
      <c r="C22" s="655"/>
      <c r="D22" s="1014" t="s">
        <v>522</v>
      </c>
      <c r="E22" s="1014"/>
      <c r="F22" s="1014"/>
      <c r="G22" s="650"/>
      <c r="H22" s="651"/>
      <c r="K22" s="663"/>
    </row>
    <row r="23" spans="1:11" ht="12.75">
      <c r="A23" s="648"/>
      <c r="B23" s="664">
        <v>0.04</v>
      </c>
      <c r="C23" s="665"/>
      <c r="D23" s="1012">
        <v>0.66</v>
      </c>
      <c r="E23" s="1012"/>
      <c r="F23" s="1012"/>
      <c r="G23" s="650"/>
      <c r="H23" s="651"/>
      <c r="K23" s="663"/>
    </row>
    <row r="24" spans="1:11" ht="12.75">
      <c r="A24" s="648"/>
      <c r="B24" s="657"/>
      <c r="C24" s="655"/>
      <c r="D24" s="655"/>
      <c r="E24" s="655"/>
      <c r="F24" s="655"/>
      <c r="G24" s="650"/>
      <c r="H24" s="651"/>
      <c r="K24" s="663"/>
    </row>
    <row r="25" spans="1:11" ht="12.75">
      <c r="A25" s="648"/>
      <c r="B25" s="655" t="s">
        <v>523</v>
      </c>
      <c r="C25" s="666">
        <f>+B23*D23</f>
        <v>0.026400000000000003</v>
      </c>
      <c r="D25" s="667"/>
      <c r="E25" s="668"/>
      <c r="F25" s="657"/>
      <c r="G25" s="650"/>
      <c r="H25" s="651"/>
      <c r="K25" s="663"/>
    </row>
    <row r="26" spans="1:11" ht="12.75">
      <c r="A26" s="648"/>
      <c r="B26" s="657"/>
      <c r="C26" s="666"/>
      <c r="D26" s="657"/>
      <c r="E26" s="657"/>
      <c r="F26" s="657"/>
      <c r="G26" s="650"/>
      <c r="H26" s="651"/>
      <c r="K26" s="663"/>
    </row>
    <row r="27" spans="1:11" ht="15.75">
      <c r="A27" s="648"/>
      <c r="B27" s="657"/>
      <c r="C27" s="657"/>
      <c r="D27" s="1015" t="s">
        <v>524</v>
      </c>
      <c r="E27" s="1015"/>
      <c r="F27" s="669">
        <f>D20+C25</f>
        <v>0.0629</v>
      </c>
      <c r="G27" s="650"/>
      <c r="H27" s="651"/>
      <c r="K27" s="663"/>
    </row>
    <row r="28" spans="1:11" ht="12.75">
      <c r="A28" s="648"/>
      <c r="B28" s="657"/>
      <c r="C28" s="666"/>
      <c r="D28" s="657"/>
      <c r="E28" s="657"/>
      <c r="F28" s="657"/>
      <c r="G28" s="650"/>
      <c r="H28" s="651"/>
      <c r="K28" s="663"/>
    </row>
    <row r="29" spans="1:13" ht="12.75">
      <c r="A29" s="648"/>
      <c r="B29" s="1016" t="s">
        <v>525</v>
      </c>
      <c r="C29" s="1016"/>
      <c r="D29" s="1016"/>
      <c r="E29" s="1016"/>
      <c r="F29" s="1016"/>
      <c r="G29" s="650"/>
      <c r="H29" s="651"/>
      <c r="K29" s="663"/>
      <c r="M29" s="670"/>
    </row>
    <row r="30" spans="1:11" ht="13.5" thickBot="1">
      <c r="A30" s="671"/>
      <c r="B30" s="1017"/>
      <c r="C30" s="1017"/>
      <c r="D30" s="1017"/>
      <c r="E30" s="1017"/>
      <c r="F30" s="1017"/>
      <c r="G30" s="672"/>
      <c r="H30" s="651"/>
      <c r="K30" s="663"/>
    </row>
    <row r="31" spans="1:11" ht="13.5" hidden="1" thickBot="1">
      <c r="A31" s="648"/>
      <c r="B31" s="657"/>
      <c r="C31" s="657"/>
      <c r="D31" s="657"/>
      <c r="E31" s="657"/>
      <c r="F31" s="657"/>
      <c r="G31" s="650"/>
      <c r="K31" s="663"/>
    </row>
    <row r="32" spans="1:11" ht="12.75">
      <c r="A32" s="652"/>
      <c r="B32" s="673"/>
      <c r="C32" s="673"/>
      <c r="D32" s="673"/>
      <c r="E32" s="673"/>
      <c r="F32" s="673"/>
      <c r="G32" s="654"/>
      <c r="K32" s="663"/>
    </row>
    <row r="33" spans="1:11" ht="12.75">
      <c r="A33" s="648"/>
      <c r="B33" s="1015" t="s">
        <v>526</v>
      </c>
      <c r="C33" s="1015"/>
      <c r="D33" s="1015"/>
      <c r="E33" s="1015"/>
      <c r="F33" s="1015"/>
      <c r="G33" s="650"/>
      <c r="H33" s="651"/>
      <c r="K33" s="663"/>
    </row>
    <row r="34" spans="1:11" ht="12.75">
      <c r="A34" s="648"/>
      <c r="B34" s="1015"/>
      <c r="C34" s="1015"/>
      <c r="D34" s="1015"/>
      <c r="E34" s="1015"/>
      <c r="F34" s="1015"/>
      <c r="G34" s="650"/>
      <c r="H34" s="651"/>
      <c r="K34" s="663"/>
    </row>
    <row r="35" spans="1:11" ht="12.75">
      <c r="A35" s="648"/>
      <c r="B35" s="674" t="s">
        <v>527</v>
      </c>
      <c r="C35" s="674" t="s">
        <v>528</v>
      </c>
      <c r="D35" s="674" t="s">
        <v>529</v>
      </c>
      <c r="E35" s="674" t="s">
        <v>530</v>
      </c>
      <c r="F35" s="674" t="s">
        <v>531</v>
      </c>
      <c r="G35" s="650"/>
      <c r="H35" s="651"/>
      <c r="I35" s="675" t="s">
        <v>532</v>
      </c>
      <c r="K35" s="663"/>
    </row>
    <row r="36" spans="1:11" ht="12.75">
      <c r="A36" s="648"/>
      <c r="B36" s="676" t="s">
        <v>533</v>
      </c>
      <c r="C36" s="677">
        <f aca="true" t="shared" si="0" ref="C36:E40">BV299</f>
        <v>0.0529</v>
      </c>
      <c r="D36" s="677">
        <f>BW299</f>
        <v>0.0592</v>
      </c>
      <c r="E36" s="677">
        <f>BX299</f>
        <v>0.0793</v>
      </c>
      <c r="F36" s="678">
        <v>0.0529</v>
      </c>
      <c r="G36" s="679"/>
      <c r="H36" s="680"/>
      <c r="I36" s="681">
        <f>TRUNC(F36,4)</f>
        <v>0.0529</v>
      </c>
      <c r="K36" s="659">
        <f>IF(F36&lt;&gt;"",IF(OR(F36&gt;E36,F36&lt;C36),"CORRIGIR % ADOTADO",""),"")</f>
      </c>
    </row>
    <row r="37" spans="1:11" ht="12.75">
      <c r="A37" s="648"/>
      <c r="B37" s="676" t="s">
        <v>534</v>
      </c>
      <c r="C37" s="677">
        <f t="shared" si="0"/>
        <v>0.0025</v>
      </c>
      <c r="D37" s="677">
        <f t="shared" si="0"/>
        <v>0.0051</v>
      </c>
      <c r="E37" s="677">
        <f t="shared" si="0"/>
        <v>0.0056</v>
      </c>
      <c r="F37" s="682">
        <v>0.0025</v>
      </c>
      <c r="G37" s="679"/>
      <c r="H37" s="680"/>
      <c r="I37" s="681">
        <f>TRUNC(F37,4)</f>
        <v>0.0025</v>
      </c>
      <c r="K37" s="659">
        <f>IF(F37&lt;&gt;"",IF(OR(F37&gt;E37,F37&lt;C37),"CORRIGIR % ADOTADO",""),"")</f>
      </c>
    </row>
    <row r="38" spans="1:11" ht="12.75">
      <c r="A38" s="648"/>
      <c r="B38" s="676" t="s">
        <v>509</v>
      </c>
      <c r="C38" s="677">
        <f t="shared" si="0"/>
        <v>0.01</v>
      </c>
      <c r="D38" s="677">
        <f t="shared" si="0"/>
        <v>0.0148</v>
      </c>
      <c r="E38" s="677">
        <f t="shared" si="0"/>
        <v>0.0197</v>
      </c>
      <c r="F38" s="682">
        <v>0.01</v>
      </c>
      <c r="G38" s="679"/>
      <c r="H38" s="680"/>
      <c r="I38" s="681">
        <f>TRUNC(F38,4)</f>
        <v>0.01</v>
      </c>
      <c r="K38" s="659">
        <f>IF(F38&lt;&gt;"",IF(OR(F38&gt;E38,F38&lt;C38),"CORRIGIR % ADOTADO",""),"")</f>
      </c>
    </row>
    <row r="39" spans="1:11" ht="12.75">
      <c r="A39" s="648"/>
      <c r="B39" s="676" t="s">
        <v>535</v>
      </c>
      <c r="C39" s="677">
        <f t="shared" si="0"/>
        <v>0.0101</v>
      </c>
      <c r="D39" s="677">
        <f t="shared" si="0"/>
        <v>0.0107</v>
      </c>
      <c r="E39" s="677">
        <f t="shared" si="0"/>
        <v>0.0111</v>
      </c>
      <c r="F39" s="682">
        <v>0.0101</v>
      </c>
      <c r="G39" s="679"/>
      <c r="H39" s="680"/>
      <c r="I39" s="681">
        <f>TRUNC(F39,4)</f>
        <v>0.0101</v>
      </c>
      <c r="K39" s="659">
        <f>IF(F39&lt;&gt;"",IF(OR(F39&gt;E39,F39&lt;C39),"CORRIGIR % ADOTADO",""),"")</f>
      </c>
    </row>
    <row r="40" spans="1:11" ht="12.75">
      <c r="A40" s="648"/>
      <c r="B40" s="676" t="s">
        <v>536</v>
      </c>
      <c r="C40" s="677">
        <f t="shared" si="0"/>
        <v>0.08</v>
      </c>
      <c r="D40" s="677">
        <f t="shared" si="0"/>
        <v>0.0831</v>
      </c>
      <c r="E40" s="677">
        <f t="shared" si="0"/>
        <v>0.0951</v>
      </c>
      <c r="F40" s="683">
        <v>0.0876</v>
      </c>
      <c r="G40" s="679"/>
      <c r="H40" s="680"/>
      <c r="I40" s="681">
        <f>TRUNC(F40,4)</f>
        <v>0.0876</v>
      </c>
      <c r="K40" s="659">
        <f>IF(F40&lt;&gt;"",IF(OR(F40&gt;E40,F40&lt;C40),"CORRIGIR % ADOTADO",""),"")</f>
      </c>
    </row>
    <row r="41" spans="1:8" ht="12.75">
      <c r="A41" s="648"/>
      <c r="B41" s="676"/>
      <c r="C41" s="677"/>
      <c r="D41" s="677"/>
      <c r="E41" s="677"/>
      <c r="F41" s="657"/>
      <c r="G41" s="679"/>
      <c r="H41" s="680"/>
    </row>
    <row r="42" spans="1:9" ht="12.75">
      <c r="A42" s="648"/>
      <c r="B42" s="684" t="s">
        <v>537</v>
      </c>
      <c r="C42" s="677"/>
      <c r="D42" s="677"/>
      <c r="E42" s="677"/>
      <c r="F42" s="685">
        <f>F27</f>
        <v>0.0629</v>
      </c>
      <c r="G42" s="679"/>
      <c r="H42" s="680"/>
      <c r="I42" s="686">
        <f>TRUNC(F42,5)</f>
        <v>0.0629</v>
      </c>
    </row>
    <row r="43" spans="1:9" ht="12.75">
      <c r="A43" s="648"/>
      <c r="B43" s="684"/>
      <c r="C43" s="677"/>
      <c r="D43" s="677"/>
      <c r="E43" s="677"/>
      <c r="F43" s="685"/>
      <c r="G43" s="679"/>
      <c r="H43" s="680"/>
      <c r="I43" s="686"/>
    </row>
    <row r="44" spans="1:8" ht="12.75">
      <c r="A44" s="648"/>
      <c r="B44" s="657"/>
      <c r="C44" s="657"/>
      <c r="D44" s="657"/>
      <c r="E44" s="657"/>
      <c r="F44" s="657"/>
      <c r="G44" s="679"/>
      <c r="H44" s="680"/>
    </row>
    <row r="45" spans="1:8" ht="12.75">
      <c r="A45" s="648"/>
      <c r="B45" s="657"/>
      <c r="C45" s="657"/>
      <c r="D45" s="657"/>
      <c r="E45" s="657"/>
      <c r="F45" s="657"/>
      <c r="G45" s="650"/>
      <c r="H45" s="680"/>
    </row>
    <row r="46" spans="1:8" ht="12.75">
      <c r="A46" s="648"/>
      <c r="B46" s="657"/>
      <c r="C46" s="657"/>
      <c r="D46" s="657"/>
      <c r="E46" s="657"/>
      <c r="F46" s="657"/>
      <c r="G46" s="650"/>
      <c r="H46" s="651"/>
    </row>
    <row r="47" spans="1:8" ht="12.75">
      <c r="A47" s="648"/>
      <c r="B47" s="657"/>
      <c r="C47" s="657"/>
      <c r="D47" s="657"/>
      <c r="E47" s="657"/>
      <c r="F47" s="657"/>
      <c r="G47" s="650"/>
      <c r="H47" s="651"/>
    </row>
    <row r="48" spans="1:8" ht="12.75">
      <c r="A48" s="648"/>
      <c r="B48" s="657"/>
      <c r="C48" s="657"/>
      <c r="D48" s="657"/>
      <c r="E48" s="657"/>
      <c r="F48" s="657"/>
      <c r="G48" s="650"/>
      <c r="H48" s="651"/>
    </row>
    <row r="49" spans="1:11" ht="15.75">
      <c r="A49" s="648"/>
      <c r="B49" s="687" t="s">
        <v>538</v>
      </c>
      <c r="C49" s="657"/>
      <c r="D49" s="657"/>
      <c r="E49" s="1018">
        <f>ROUND((((1+I36+I37+I38)*(1+I39)*(1+I40))/(1-I42))-1,4)</f>
        <v>0.249</v>
      </c>
      <c r="F49" s="1018"/>
      <c r="G49" s="650"/>
      <c r="H49" s="651"/>
      <c r="K49" s="688">
        <f>IF(F12="SIM","PARA SIMPLES CONFERÊNCIA","")</f>
      </c>
    </row>
    <row r="50" spans="1:8" ht="16.5" thickBot="1">
      <c r="A50" s="648"/>
      <c r="B50" s="687"/>
      <c r="C50" s="657"/>
      <c r="D50" s="657"/>
      <c r="E50" s="689"/>
      <c r="F50" s="689"/>
      <c r="G50" s="650"/>
      <c r="H50" s="651"/>
    </row>
    <row r="51" spans="1:8" ht="21.75" thickBot="1" thickTop="1">
      <c r="A51" s="648"/>
      <c r="B51" s="1019" t="str">
        <f>IF(E49&lt;C54,"ERRO - BDI INFERIOR AO 1º QUARTIL",IF(E49&gt;E54,"ERRO - BDI SUPERIOR AO 3º QUARTIL","BDI CONFORME"))</f>
        <v>BDI CONFORME</v>
      </c>
      <c r="C51" s="1020"/>
      <c r="D51" s="1020"/>
      <c r="E51" s="1020"/>
      <c r="F51" s="1021"/>
      <c r="G51" s="650"/>
      <c r="H51" s="651"/>
    </row>
    <row r="52" spans="1:8" ht="19.5" thickTop="1">
      <c r="A52" s="648"/>
      <c r="B52" s="690"/>
      <c r="C52" s="690"/>
      <c r="D52" s="690"/>
      <c r="E52" s="690"/>
      <c r="F52" s="690"/>
      <c r="G52" s="650"/>
      <c r="H52" s="651"/>
    </row>
    <row r="53" spans="1:8" ht="12.75">
      <c r="A53" s="648"/>
      <c r="B53" s="657"/>
      <c r="C53" s="691" t="s">
        <v>528</v>
      </c>
      <c r="D53" s="691" t="s">
        <v>529</v>
      </c>
      <c r="E53" s="691" t="s">
        <v>530</v>
      </c>
      <c r="F53" s="657"/>
      <c r="G53" s="650"/>
      <c r="H53" s="651"/>
    </row>
    <row r="54" spans="1:8" ht="12.75">
      <c r="A54" s="648"/>
      <c r="B54" s="692" t="s">
        <v>539</v>
      </c>
      <c r="C54" s="693">
        <f>BV298</f>
        <v>0.24</v>
      </c>
      <c r="D54" s="693">
        <f>BW298</f>
        <v>0.2584</v>
      </c>
      <c r="E54" s="693">
        <f>BX298</f>
        <v>0.2786</v>
      </c>
      <c r="F54" s="657"/>
      <c r="G54" s="650"/>
      <c r="H54" s="651"/>
    </row>
    <row r="55" spans="1:8" ht="12.75" customHeight="1" hidden="1">
      <c r="A55" s="648"/>
      <c r="B55" s="692"/>
      <c r="C55" s="693"/>
      <c r="D55" s="693"/>
      <c r="E55" s="693"/>
      <c r="F55" s="657"/>
      <c r="G55" s="650"/>
      <c r="H55" s="651"/>
    </row>
    <row r="56" spans="1:8" ht="12.75" customHeight="1" hidden="1">
      <c r="A56" s="648"/>
      <c r="B56" s="1015" t="s">
        <v>540</v>
      </c>
      <c r="C56" s="1015"/>
      <c r="D56" s="1015"/>
      <c r="E56" s="1015"/>
      <c r="F56" s="1015"/>
      <c r="G56" s="650"/>
      <c r="H56" s="651"/>
    </row>
    <row r="57" spans="1:8" ht="13.5" customHeight="1" hidden="1">
      <c r="A57" s="648"/>
      <c r="B57" s="694"/>
      <c r="C57" s="694"/>
      <c r="D57" s="694"/>
      <c r="E57" s="694"/>
      <c r="F57" s="694"/>
      <c r="G57" s="650"/>
      <c r="H57" s="651"/>
    </row>
    <row r="58" spans="1:48" ht="16.5" customHeight="1" hidden="1">
      <c r="A58" s="648"/>
      <c r="B58" s="1022" t="s">
        <v>541</v>
      </c>
      <c r="C58" s="1022"/>
      <c r="D58" s="1022"/>
      <c r="E58" s="1023">
        <f>ROUND((((1+I36+I37+I38)*(1+I39)*(1+I40))/(1-I60))-1,4)</f>
        <v>0.312</v>
      </c>
      <c r="F58" s="1024"/>
      <c r="G58" s="650"/>
      <c r="H58" s="651"/>
      <c r="K58" s="695">
        <f>IF(F12="SIM","UTILIZAR BDI C/ DESONERAÇÃO","")</f>
      </c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6"/>
      <c r="AT58" s="696"/>
      <c r="AU58" s="696"/>
      <c r="AV58" s="696"/>
    </row>
    <row r="59" spans="1:48" ht="13.5" customHeight="1" hidden="1">
      <c r="A59" s="648"/>
      <c r="B59" s="692"/>
      <c r="C59" s="693"/>
      <c r="D59" s="693"/>
      <c r="E59" s="693"/>
      <c r="F59" s="657"/>
      <c r="G59" s="650"/>
      <c r="H59" s="651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96"/>
      <c r="AK59" s="696"/>
      <c r="AL59" s="696"/>
      <c r="AM59" s="696"/>
      <c r="AN59" s="696"/>
      <c r="AO59" s="696"/>
      <c r="AP59" s="696"/>
      <c r="AQ59" s="696"/>
      <c r="AR59" s="696"/>
      <c r="AS59" s="696"/>
      <c r="AT59" s="696"/>
      <c r="AU59" s="696"/>
      <c r="AV59" s="696"/>
    </row>
    <row r="60" spans="1:48" ht="27" customHeight="1" hidden="1">
      <c r="A60" s="648"/>
      <c r="B60" s="697" t="s">
        <v>542</v>
      </c>
      <c r="C60" s="666">
        <v>0.045</v>
      </c>
      <c r="D60" s="1015" t="s">
        <v>524</v>
      </c>
      <c r="E60" s="1015"/>
      <c r="F60" s="669">
        <f>+F27+C60</f>
        <v>0.1079</v>
      </c>
      <c r="G60" s="650"/>
      <c r="H60" s="651"/>
      <c r="I60" s="686">
        <f>TRUNC(F60,5)</f>
        <v>0.1079</v>
      </c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96"/>
    </row>
    <row r="61" spans="1:8" ht="13.5" customHeight="1" hidden="1">
      <c r="A61" s="671"/>
      <c r="B61" s="698"/>
      <c r="C61" s="699"/>
      <c r="D61" s="699"/>
      <c r="E61" s="699"/>
      <c r="F61" s="700"/>
      <c r="G61" s="672"/>
      <c r="H61" s="651"/>
    </row>
    <row r="63" spans="2:3" ht="12.75">
      <c r="B63" s="1042" t="s">
        <v>571</v>
      </c>
      <c r="C63" s="1043"/>
    </row>
    <row r="64" spans="2:11" ht="12.75">
      <c r="B64" s="1042" t="s">
        <v>572</v>
      </c>
      <c r="C64" s="1046"/>
      <c r="I64" s="701"/>
      <c r="J64" s="701"/>
      <c r="K64" s="701"/>
    </row>
    <row r="65" spans="2:9" ht="12.75">
      <c r="B65" s="127" t="s">
        <v>573</v>
      </c>
      <c r="C65" s="127"/>
      <c r="I65" s="702"/>
    </row>
    <row r="66" ht="12.75">
      <c r="I66" s="703"/>
    </row>
    <row r="67" ht="12.75">
      <c r="I67" s="703"/>
    </row>
    <row r="68" ht="12.75">
      <c r="I68" s="704"/>
    </row>
    <row r="69" ht="12.75">
      <c r="I69" s="703"/>
    </row>
    <row r="70" ht="12.75">
      <c r="I70" s="703"/>
    </row>
    <row r="71" ht="12.75">
      <c r="I71" s="703"/>
    </row>
    <row r="72" ht="12.75">
      <c r="I72" s="703"/>
    </row>
    <row r="73" ht="12.75">
      <c r="I73" s="703"/>
    </row>
    <row r="76" ht="12.75">
      <c r="I76" s="701"/>
    </row>
    <row r="77" ht="12.75">
      <c r="I77" s="670"/>
    </row>
    <row r="78" ht="12.75">
      <c r="I78" s="670"/>
    </row>
    <row r="79" ht="12.75">
      <c r="I79" s="670"/>
    </row>
    <row r="80" ht="12.75">
      <c r="I80" s="670"/>
    </row>
    <row r="81" ht="12.75">
      <c r="I81" s="670"/>
    </row>
    <row r="82" ht="12.75">
      <c r="I82" s="670"/>
    </row>
    <row r="83" ht="12.75">
      <c r="I83" s="670"/>
    </row>
    <row r="84" ht="12.75">
      <c r="I84" s="670"/>
    </row>
    <row r="85" ht="12.75">
      <c r="I85" s="670"/>
    </row>
    <row r="86" ht="12.75">
      <c r="I86" s="705"/>
    </row>
    <row r="87" ht="12.75">
      <c r="I87" s="705"/>
    </row>
    <row r="88" ht="12.75">
      <c r="I88" s="705"/>
    </row>
    <row r="92" spans="14:15" ht="12.75">
      <c r="N92" s="670"/>
      <c r="O92" s="681"/>
    </row>
    <row r="93" spans="14:15" ht="12.75">
      <c r="N93" s="670"/>
      <c r="O93" s="681"/>
    </row>
    <row r="94" spans="14:15" ht="12.75">
      <c r="N94" s="670"/>
      <c r="O94" s="681"/>
    </row>
    <row r="95" spans="14:15" ht="12.75">
      <c r="N95" s="670"/>
      <c r="O95" s="681"/>
    </row>
    <row r="96" spans="14:15" ht="12.75">
      <c r="N96" s="670"/>
      <c r="O96" s="681"/>
    </row>
    <row r="97" spans="14:15" ht="12.75">
      <c r="N97" s="670"/>
      <c r="O97" s="681"/>
    </row>
    <row r="98" spans="14:15" ht="12.75">
      <c r="N98" s="670"/>
      <c r="O98" s="681"/>
    </row>
    <row r="99" spans="14:15" ht="12.75">
      <c r="N99" s="670"/>
      <c r="O99" s="681"/>
    </row>
    <row r="100" spans="14:15" ht="12.75">
      <c r="N100" s="670"/>
      <c r="O100" s="681"/>
    </row>
    <row r="101" spans="14:15" ht="12.75">
      <c r="N101" s="670"/>
      <c r="O101" s="681"/>
    </row>
    <row r="102" spans="14:15" ht="12.75">
      <c r="N102" s="670"/>
      <c r="O102" s="681"/>
    </row>
    <row r="103" ht="12.75">
      <c r="N103" s="670"/>
    </row>
    <row r="104" ht="12.75">
      <c r="N104" s="670"/>
    </row>
    <row r="105" ht="12.75">
      <c r="N105" s="670"/>
    </row>
    <row r="106" ht="12.75">
      <c r="N106" s="670"/>
    </row>
    <row r="257" ht="13.5" thickBot="1"/>
    <row r="258" spans="72:76" ht="12.75">
      <c r="BT258" s="1025" t="s">
        <v>543</v>
      </c>
      <c r="BU258" s="1026"/>
      <c r="BV258" s="1026"/>
      <c r="BW258" s="1026"/>
      <c r="BX258" s="1027"/>
    </row>
    <row r="259" spans="72:76" ht="12.75">
      <c r="BT259" s="706"/>
      <c r="BU259" s="651" t="s">
        <v>544</v>
      </c>
      <c r="BV259" s="651" t="s">
        <v>436</v>
      </c>
      <c r="BW259" s="651" t="s">
        <v>545</v>
      </c>
      <c r="BX259" s="707"/>
    </row>
    <row r="260" spans="72:76" ht="12.75">
      <c r="BT260" s="708">
        <v>100</v>
      </c>
      <c r="BU260" s="709" t="s">
        <v>546</v>
      </c>
      <c r="BV260" s="710">
        <f aca="true" t="shared" si="1" ref="BV260:BV265">+BT260</f>
        <v>100</v>
      </c>
      <c r="BW260" s="711" t="s">
        <v>547</v>
      </c>
      <c r="BX260" s="707"/>
    </row>
    <row r="261" spans="72:76" ht="12.75">
      <c r="BT261" s="708">
        <v>200</v>
      </c>
      <c r="BU261" s="709" t="s">
        <v>548</v>
      </c>
      <c r="BV261" s="710">
        <f t="shared" si="1"/>
        <v>200</v>
      </c>
      <c r="BW261" s="711" t="s">
        <v>549</v>
      </c>
      <c r="BX261" s="707"/>
    </row>
    <row r="262" spans="72:76" ht="60">
      <c r="BT262" s="708">
        <v>300</v>
      </c>
      <c r="BU262" s="712" t="s">
        <v>550</v>
      </c>
      <c r="BV262" s="710">
        <f t="shared" si="1"/>
        <v>300</v>
      </c>
      <c r="BW262" s="711" t="s">
        <v>551</v>
      </c>
      <c r="BX262" s="707"/>
    </row>
    <row r="263" spans="72:76" ht="45">
      <c r="BT263" s="708">
        <v>400</v>
      </c>
      <c r="BU263" s="712" t="s">
        <v>514</v>
      </c>
      <c r="BV263" s="710">
        <f t="shared" si="1"/>
        <v>400</v>
      </c>
      <c r="BW263" s="711" t="s">
        <v>552</v>
      </c>
      <c r="BX263" s="707"/>
    </row>
    <row r="264" spans="72:76" ht="12.75">
      <c r="BT264" s="708">
        <v>500</v>
      </c>
      <c r="BU264" s="709" t="s">
        <v>553</v>
      </c>
      <c r="BV264" s="710">
        <f t="shared" si="1"/>
        <v>500</v>
      </c>
      <c r="BW264" s="711" t="s">
        <v>554</v>
      </c>
      <c r="BX264" s="707"/>
    </row>
    <row r="265" spans="72:76" ht="25.5">
      <c r="BT265" s="708">
        <v>600</v>
      </c>
      <c r="BU265" s="709" t="s">
        <v>555</v>
      </c>
      <c r="BV265" s="710">
        <f t="shared" si="1"/>
        <v>600</v>
      </c>
      <c r="BW265" s="711" t="s">
        <v>556</v>
      </c>
      <c r="BX265" s="707"/>
    </row>
    <row r="266" spans="72:76" ht="12.75">
      <c r="BT266" s="708"/>
      <c r="BU266" s="710"/>
      <c r="BV266" s="710"/>
      <c r="BW266" s="711"/>
      <c r="BX266" s="707"/>
    </row>
    <row r="267" spans="72:76" ht="12.75">
      <c r="BT267" s="713"/>
      <c r="BU267" s="711"/>
      <c r="BV267" s="711"/>
      <c r="BW267" s="711"/>
      <c r="BX267" s="707"/>
    </row>
    <row r="268" spans="72:86" ht="12.75">
      <c r="BT268" s="713"/>
      <c r="BU268" s="711"/>
      <c r="BV268" s="711"/>
      <c r="BW268" s="711"/>
      <c r="BX268" s="707"/>
      <c r="CF268" s="638" t="s">
        <v>510</v>
      </c>
      <c r="CG268" s="638" t="s">
        <v>557</v>
      </c>
      <c r="CH268" s="638" t="s">
        <v>558</v>
      </c>
    </row>
    <row r="269" spans="72:87" ht="12.75">
      <c r="BT269" s="706"/>
      <c r="BU269" s="651"/>
      <c r="BV269" s="651"/>
      <c r="BW269" s="651"/>
      <c r="BX269" s="707"/>
      <c r="CE269" s="638" t="s">
        <v>559</v>
      </c>
      <c r="CF269" s="681">
        <v>0.0065</v>
      </c>
      <c r="CG269" s="714">
        <v>0.03</v>
      </c>
      <c r="CH269" s="638" t="s">
        <v>560</v>
      </c>
      <c r="CI269" s="681" t="e">
        <f>(#REF!+#REF!)+C25</f>
        <v>#REF!</v>
      </c>
    </row>
    <row r="270" spans="72:87" ht="12.75">
      <c r="BT270" s="706"/>
      <c r="BU270" s="651"/>
      <c r="BV270" s="651"/>
      <c r="BW270" s="651"/>
      <c r="BX270" s="707"/>
      <c r="CF270" s="681">
        <v>0.0165</v>
      </c>
      <c r="CG270" s="681">
        <v>0.076</v>
      </c>
      <c r="CH270" s="638" t="s">
        <v>561</v>
      </c>
      <c r="CI270" s="681" t="e">
        <f>(#REF!+#REF!)*#REF!+C25</f>
        <v>#REF!</v>
      </c>
    </row>
    <row r="271" spans="72:76" ht="12.75">
      <c r="BT271" s="706"/>
      <c r="BU271" s="651"/>
      <c r="BV271" s="651"/>
      <c r="BW271" s="651"/>
      <c r="BX271" s="707"/>
    </row>
    <row r="272" spans="72:76" ht="12.75">
      <c r="BT272" s="715"/>
      <c r="BU272" s="716"/>
      <c r="BV272" s="716"/>
      <c r="BW272" s="651"/>
      <c r="BX272" s="707"/>
    </row>
    <row r="273" spans="72:76" ht="12.75">
      <c r="BT273" s="706"/>
      <c r="BU273" s="651"/>
      <c r="BV273" s="651"/>
      <c r="BW273" s="651"/>
      <c r="BX273" s="707"/>
    </row>
    <row r="274" spans="72:86" ht="13.5" thickBot="1">
      <c r="BT274" s="706"/>
      <c r="BU274" s="651"/>
      <c r="BV274" s="651"/>
      <c r="BW274" s="651"/>
      <c r="BX274" s="707"/>
      <c r="CD274" s="638">
        <f>BT260</f>
        <v>100</v>
      </c>
      <c r="CE274" s="1028" t="str">
        <f>BU260</f>
        <v>Construção de edificios</v>
      </c>
      <c r="CF274" s="1028"/>
      <c r="CG274" s="1028"/>
      <c r="CH274" s="1028"/>
    </row>
    <row r="275" spans="72:86" ht="15.75" thickBot="1">
      <c r="BT275" s="706"/>
      <c r="BU275" s="651"/>
      <c r="BV275" s="651"/>
      <c r="BW275" s="651"/>
      <c r="BX275" s="707"/>
      <c r="CD275" s="638">
        <f>+CD274+1</f>
        <v>101</v>
      </c>
      <c r="CE275" s="717" t="s">
        <v>533</v>
      </c>
      <c r="CF275" s="718">
        <v>0.03</v>
      </c>
      <c r="CG275" s="718">
        <v>0.04</v>
      </c>
      <c r="CH275" s="718">
        <v>0.055</v>
      </c>
    </row>
    <row r="276" spans="72:86" ht="15.75" thickBot="1">
      <c r="BT276" s="706"/>
      <c r="BU276" s="651"/>
      <c r="BV276" s="651"/>
      <c r="BW276" s="651"/>
      <c r="BX276" s="707"/>
      <c r="CD276" s="638">
        <f>+CD275+1</f>
        <v>102</v>
      </c>
      <c r="CE276" s="717" t="s">
        <v>534</v>
      </c>
      <c r="CF276" s="718">
        <v>0.008</v>
      </c>
      <c r="CG276" s="718">
        <v>0.008</v>
      </c>
      <c r="CH276" s="718">
        <v>0.01</v>
      </c>
    </row>
    <row r="277" spans="72:86" ht="15.75" thickBot="1">
      <c r="BT277" s="706"/>
      <c r="BU277" s="651"/>
      <c r="BV277" s="651"/>
      <c r="BW277" s="651"/>
      <c r="BX277" s="707"/>
      <c r="CD277" s="638">
        <f>+CD276+1</f>
        <v>103</v>
      </c>
      <c r="CE277" s="717" t="s">
        <v>509</v>
      </c>
      <c r="CF277" s="718">
        <v>0.0097</v>
      </c>
      <c r="CG277" s="718">
        <v>0.0127</v>
      </c>
      <c r="CH277" s="718">
        <v>0.0127</v>
      </c>
    </row>
    <row r="278" spans="72:86" ht="15.75" thickBot="1">
      <c r="BT278" s="715"/>
      <c r="BU278" s="716"/>
      <c r="BV278" s="716"/>
      <c r="BW278" s="651"/>
      <c r="BX278" s="707"/>
      <c r="CD278" s="638">
        <f>+CD277+1</f>
        <v>104</v>
      </c>
      <c r="CE278" s="717" t="s">
        <v>535</v>
      </c>
      <c r="CF278" s="718">
        <v>0.0059</v>
      </c>
      <c r="CG278" s="718">
        <v>0.0123</v>
      </c>
      <c r="CH278" s="718">
        <v>0.0139</v>
      </c>
    </row>
    <row r="279" spans="72:86" ht="15.75" thickBot="1">
      <c r="BT279" s="706"/>
      <c r="BU279" s="651"/>
      <c r="BV279" s="651"/>
      <c r="BW279" s="651"/>
      <c r="BX279" s="707"/>
      <c r="CD279" s="638">
        <f>+CD278+1</f>
        <v>105</v>
      </c>
      <c r="CE279" s="717" t="s">
        <v>536</v>
      </c>
      <c r="CF279" s="718">
        <v>0.0616</v>
      </c>
      <c r="CG279" s="718">
        <v>0.074</v>
      </c>
      <c r="CH279" s="718">
        <v>0.0896</v>
      </c>
    </row>
    <row r="280" spans="72:76" ht="12.75">
      <c r="BT280" s="706"/>
      <c r="BU280" s="651"/>
      <c r="BV280" s="651"/>
      <c r="BW280" s="651"/>
      <c r="BX280" s="707"/>
    </row>
    <row r="281" spans="72:76" ht="12.75">
      <c r="BT281" s="706"/>
      <c r="BU281" s="651"/>
      <c r="BV281" s="651"/>
      <c r="BW281" s="651"/>
      <c r="BX281" s="707"/>
    </row>
    <row r="282" spans="72:86" ht="13.5" thickBot="1">
      <c r="BT282" s="706"/>
      <c r="BU282" s="651"/>
      <c r="BV282" s="651"/>
      <c r="BW282" s="651"/>
      <c r="BX282" s="707"/>
      <c r="CD282" s="638">
        <f>BT261</f>
        <v>200</v>
      </c>
      <c r="CE282" s="1028" t="str">
        <f>BU261</f>
        <v>Construção de rodovias e ferrovias</v>
      </c>
      <c r="CF282" s="1028"/>
      <c r="CG282" s="1028"/>
      <c r="CH282" s="1028"/>
    </row>
    <row r="283" spans="72:86" ht="15.75" thickBot="1">
      <c r="BT283" s="706"/>
      <c r="BU283" s="651"/>
      <c r="BV283" s="651"/>
      <c r="BW283" s="651"/>
      <c r="BX283" s="707"/>
      <c r="CD283" s="638">
        <f>+CD282+1</f>
        <v>201</v>
      </c>
      <c r="CE283" s="717" t="s">
        <v>533</v>
      </c>
      <c r="CF283" s="718">
        <v>0.038</v>
      </c>
      <c r="CG283" s="718">
        <v>0.0401</v>
      </c>
      <c r="CH283" s="718">
        <v>0.0467</v>
      </c>
    </row>
    <row r="284" spans="72:86" ht="15.75" thickBot="1">
      <c r="BT284" s="706"/>
      <c r="BU284" s="651"/>
      <c r="BV284" s="651"/>
      <c r="BW284" s="651"/>
      <c r="BX284" s="707"/>
      <c r="CD284" s="638">
        <f>+CD283+1</f>
        <v>202</v>
      </c>
      <c r="CE284" s="717" t="s">
        <v>534</v>
      </c>
      <c r="CF284" s="718">
        <v>0.0032</v>
      </c>
      <c r="CG284" s="718">
        <v>0.004</v>
      </c>
      <c r="CH284" s="718">
        <v>0.0074</v>
      </c>
    </row>
    <row r="285" spans="72:86" ht="15.75" thickBot="1">
      <c r="BT285" s="1025"/>
      <c r="BU285" s="1026"/>
      <c r="BV285" s="1026"/>
      <c r="BW285" s="1026"/>
      <c r="BX285" s="1027"/>
      <c r="CD285" s="638">
        <f>+CD284+1</f>
        <v>203</v>
      </c>
      <c r="CE285" s="717" t="s">
        <v>509</v>
      </c>
      <c r="CF285" s="718">
        <v>0.005</v>
      </c>
      <c r="CG285" s="718">
        <v>0.0056</v>
      </c>
      <c r="CH285" s="718">
        <v>0.0097</v>
      </c>
    </row>
    <row r="286" spans="72:86" ht="15.75" thickBot="1">
      <c r="BT286" s="706"/>
      <c r="BU286" s="651"/>
      <c r="BV286" s="651"/>
      <c r="BW286" s="651"/>
      <c r="BX286" s="707"/>
      <c r="CD286" s="638">
        <f>+CD285+1</f>
        <v>204</v>
      </c>
      <c r="CE286" s="717" t="s">
        <v>535</v>
      </c>
      <c r="CF286" s="718">
        <v>0.0102</v>
      </c>
      <c r="CG286" s="718">
        <v>0.0111</v>
      </c>
      <c r="CH286" s="718">
        <v>0.0121</v>
      </c>
    </row>
    <row r="287" spans="72:86" ht="15.75" thickBot="1">
      <c r="BT287" s="706"/>
      <c r="BU287" s="651"/>
      <c r="BV287" s="651"/>
      <c r="BW287" s="651"/>
      <c r="BX287" s="707"/>
      <c r="CD287" s="638">
        <f>+CD286+1</f>
        <v>205</v>
      </c>
      <c r="CE287" s="717" t="s">
        <v>536</v>
      </c>
      <c r="CF287" s="718">
        <v>0.0664</v>
      </c>
      <c r="CG287" s="718">
        <v>0.073</v>
      </c>
      <c r="CH287" s="718">
        <v>0.0869</v>
      </c>
    </row>
    <row r="288" spans="72:76" ht="12.75">
      <c r="BT288" s="706"/>
      <c r="BU288" s="651"/>
      <c r="BV288" s="651"/>
      <c r="BW288" s="651"/>
      <c r="BX288" s="707"/>
    </row>
    <row r="289" spans="72:76" ht="13.5" thickBot="1">
      <c r="BT289" s="719"/>
      <c r="BU289" s="720"/>
      <c r="BV289" s="720"/>
      <c r="BW289" s="720"/>
      <c r="BX289" s="721"/>
    </row>
    <row r="290" spans="72:86" ht="13.5" thickBot="1">
      <c r="BT290" s="1025"/>
      <c r="BU290" s="1026"/>
      <c r="BV290" s="1026"/>
      <c r="BW290" s="1026"/>
      <c r="BX290" s="1027"/>
      <c r="CD290" s="638">
        <f>BT262</f>
        <v>300</v>
      </c>
      <c r="CE290" s="1028" t="str">
        <f>BU262</f>
        <v>Construção de Redes de Abastecimento de Água, Coleta de Esgoto e Construções Correlatas</v>
      </c>
      <c r="CF290" s="1028"/>
      <c r="CG290" s="1028"/>
      <c r="CH290" s="1028"/>
    </row>
    <row r="291" spans="72:86" ht="15.75" thickBot="1">
      <c r="BT291" s="1029"/>
      <c r="BU291" s="1030"/>
      <c r="BV291" s="1030"/>
      <c r="BW291" s="1030"/>
      <c r="BX291" s="1031"/>
      <c r="CD291" s="638">
        <f>+CD290+1</f>
        <v>301</v>
      </c>
      <c r="CE291" s="722" t="s">
        <v>533</v>
      </c>
      <c r="CF291" s="723">
        <v>0.0343</v>
      </c>
      <c r="CG291" s="723">
        <v>0.0493</v>
      </c>
      <c r="CH291" s="723">
        <v>0.0671</v>
      </c>
    </row>
    <row r="292" spans="72:86" ht="15.75" thickBot="1">
      <c r="BT292" s="1029"/>
      <c r="BU292" s="1030"/>
      <c r="BV292" s="1030"/>
      <c r="BW292" s="1030"/>
      <c r="BX292" s="1031"/>
      <c r="CD292" s="638">
        <f>+CD291+1</f>
        <v>302</v>
      </c>
      <c r="CE292" s="717" t="s">
        <v>534</v>
      </c>
      <c r="CF292" s="718">
        <v>0.0028</v>
      </c>
      <c r="CG292" s="718">
        <v>0.0049</v>
      </c>
      <c r="CH292" s="718">
        <v>0.0075</v>
      </c>
    </row>
    <row r="293" spans="72:86" ht="15.75" thickBot="1">
      <c r="BT293" s="724"/>
      <c r="BU293" s="725"/>
      <c r="BV293" s="726"/>
      <c r="BW293" s="726"/>
      <c r="BX293" s="727"/>
      <c r="CD293" s="638">
        <f>+CD292+1</f>
        <v>303</v>
      </c>
      <c r="CE293" s="717" t="s">
        <v>509</v>
      </c>
      <c r="CF293" s="718">
        <v>0.01</v>
      </c>
      <c r="CG293" s="718">
        <v>0.0139</v>
      </c>
      <c r="CH293" s="718">
        <v>0.0174</v>
      </c>
    </row>
    <row r="294" spans="72:86" ht="15.75" thickBot="1">
      <c r="BT294" s="706"/>
      <c r="BU294" s="651"/>
      <c r="BV294" s="651"/>
      <c r="BW294" s="651"/>
      <c r="BX294" s="707"/>
      <c r="CD294" s="638">
        <f>+CD293+1</f>
        <v>304</v>
      </c>
      <c r="CE294" s="717" t="s">
        <v>535</v>
      </c>
      <c r="CF294" s="718">
        <v>0.0094</v>
      </c>
      <c r="CG294" s="718">
        <v>0.0099</v>
      </c>
      <c r="CH294" s="718">
        <v>0.0117</v>
      </c>
    </row>
    <row r="295" spans="72:86" ht="15.75" thickBot="1">
      <c r="BT295" s="719"/>
      <c r="BU295" s="720"/>
      <c r="BV295" s="720"/>
      <c r="BW295" s="720"/>
      <c r="BX295" s="721"/>
      <c r="CD295" s="638">
        <f>+CD294+1</f>
        <v>305</v>
      </c>
      <c r="CE295" s="717" t="s">
        <v>536</v>
      </c>
      <c r="CF295" s="718">
        <v>0.0674</v>
      </c>
      <c r="CG295" s="718">
        <v>0.0804</v>
      </c>
      <c r="CH295" s="718">
        <v>0.094</v>
      </c>
    </row>
    <row r="296" spans="72:76" ht="12.75">
      <c r="BT296" s="1025"/>
      <c r="BU296" s="1026"/>
      <c r="BV296" s="1026"/>
      <c r="BW296" s="1026"/>
      <c r="BX296" s="1027"/>
    </row>
    <row r="297" spans="72:86" ht="13.5" thickBot="1">
      <c r="BT297" s="728"/>
      <c r="BU297" s="729" t="s">
        <v>562</v>
      </c>
      <c r="BV297" s="729" t="s">
        <v>563</v>
      </c>
      <c r="BW297" s="729" t="s">
        <v>564</v>
      </c>
      <c r="BX297" s="729" t="s">
        <v>565</v>
      </c>
      <c r="CD297" s="638">
        <f>BT263</f>
        <v>400</v>
      </c>
      <c r="CE297" s="1028" t="str">
        <f>BU263</f>
        <v>Construção e Manutenção de Estações e Redes de Distribuição de Energia Elétrica</v>
      </c>
      <c r="CF297" s="1028"/>
      <c r="CG297" s="1028"/>
      <c r="CH297" s="1028"/>
    </row>
    <row r="298" spans="72:86" ht="15.75" thickBot="1">
      <c r="BT298" s="728" t="s">
        <v>566</v>
      </c>
      <c r="BU298" s="729">
        <f>VLOOKUP(C10,BU260:BV265,2,0)</f>
        <v>400</v>
      </c>
      <c r="BV298" s="730">
        <f>VLOOKUP($BU298,$BT$309:$BX$314,3,0)</f>
        <v>0.24</v>
      </c>
      <c r="BW298" s="730">
        <f>VLOOKUP($BU298,$BT$309:$BX$314,4,0)</f>
        <v>0.2584</v>
      </c>
      <c r="BX298" s="730">
        <f>VLOOKUP($BU298,$BT$309:$BX$314,5,0)</f>
        <v>0.2786</v>
      </c>
      <c r="CD298" s="638">
        <f>+CD297+1</f>
        <v>401</v>
      </c>
      <c r="CE298" s="722" t="s">
        <v>533</v>
      </c>
      <c r="CF298" s="723">
        <v>0.0529</v>
      </c>
      <c r="CG298" s="723">
        <v>0.0592</v>
      </c>
      <c r="CH298" s="723">
        <v>0.0793</v>
      </c>
    </row>
    <row r="299" spans="72:86" ht="15.75" thickBot="1">
      <c r="BT299" s="731" t="s">
        <v>533</v>
      </c>
      <c r="BU299" s="729">
        <f>+BU298+1</f>
        <v>401</v>
      </c>
      <c r="BV299" s="730">
        <f>VLOOKUP($BU299,$CD$274:$CH$315,3,0)</f>
        <v>0.0529</v>
      </c>
      <c r="BW299" s="730">
        <f>VLOOKUP($BU299,$CD$274:$CH$315,4,0)</f>
        <v>0.0592</v>
      </c>
      <c r="BX299" s="730">
        <f>VLOOKUP($BU299,$CD$274:$CH$315,5,0)</f>
        <v>0.0793</v>
      </c>
      <c r="CD299" s="638">
        <f>+CD298+1</f>
        <v>402</v>
      </c>
      <c r="CE299" s="717" t="s">
        <v>534</v>
      </c>
      <c r="CF299" s="718">
        <v>0.0025</v>
      </c>
      <c r="CG299" s="718">
        <v>0.0051</v>
      </c>
      <c r="CH299" s="718">
        <v>0.0056</v>
      </c>
    </row>
    <row r="300" spans="72:86" ht="15.75" thickBot="1">
      <c r="BT300" s="731" t="s">
        <v>534</v>
      </c>
      <c r="BU300" s="729">
        <f>+BU299+1</f>
        <v>402</v>
      </c>
      <c r="BV300" s="730">
        <f>VLOOKUP($BU300,$CD$274:$CH$315,3,0)</f>
        <v>0.0025</v>
      </c>
      <c r="BW300" s="730">
        <f>VLOOKUP($BU300,$CD$274:$CH$315,4,0)</f>
        <v>0.0051</v>
      </c>
      <c r="BX300" s="730">
        <f>VLOOKUP($BU300,$CD$274:$CH$315,5,0)</f>
        <v>0.0056</v>
      </c>
      <c r="CD300" s="638">
        <f>+CD299+1</f>
        <v>403</v>
      </c>
      <c r="CE300" s="717" t="s">
        <v>509</v>
      </c>
      <c r="CF300" s="718">
        <v>0.01</v>
      </c>
      <c r="CG300" s="718">
        <v>0.0148</v>
      </c>
      <c r="CH300" s="718">
        <v>0.0197</v>
      </c>
    </row>
    <row r="301" spans="72:86" ht="15.75" thickBot="1">
      <c r="BT301" s="731" t="s">
        <v>509</v>
      </c>
      <c r="BU301" s="729">
        <f>+BU300+1</f>
        <v>403</v>
      </c>
      <c r="BV301" s="730">
        <f>VLOOKUP($BU301,$CD$274:$CH$315,3,0)</f>
        <v>0.01</v>
      </c>
      <c r="BW301" s="730">
        <f>VLOOKUP($BU301,$CD$274:$CH$315,4,0)</f>
        <v>0.0148</v>
      </c>
      <c r="BX301" s="730">
        <f>VLOOKUP($BU301,$CD$274:$CH$315,5,0)</f>
        <v>0.0197</v>
      </c>
      <c r="CD301" s="638">
        <f>+CD300+1</f>
        <v>404</v>
      </c>
      <c r="CE301" s="717" t="s">
        <v>535</v>
      </c>
      <c r="CF301" s="718">
        <v>0.0101</v>
      </c>
      <c r="CG301" s="718">
        <v>0.0107</v>
      </c>
      <c r="CH301" s="718">
        <v>0.0111</v>
      </c>
    </row>
    <row r="302" spans="72:86" ht="15.75" thickBot="1">
      <c r="BT302" s="731" t="s">
        <v>535</v>
      </c>
      <c r="BU302" s="729">
        <f>+BU301+1</f>
        <v>404</v>
      </c>
      <c r="BV302" s="730">
        <f>VLOOKUP($BU302,$CD$274:$CH$315,3,0)</f>
        <v>0.0101</v>
      </c>
      <c r="BW302" s="730">
        <f>VLOOKUP($BU302,$CD$274:$CH$315,4,0)</f>
        <v>0.0107</v>
      </c>
      <c r="BX302" s="730">
        <f>VLOOKUP($BU302,$CD$274:$CH$315,5,0)</f>
        <v>0.0111</v>
      </c>
      <c r="CD302" s="638">
        <f>+CD301+1</f>
        <v>405</v>
      </c>
      <c r="CE302" s="717" t="s">
        <v>536</v>
      </c>
      <c r="CF302" s="718">
        <v>0.08</v>
      </c>
      <c r="CG302" s="718">
        <v>0.0831</v>
      </c>
      <c r="CH302" s="718">
        <v>0.0951</v>
      </c>
    </row>
    <row r="303" spans="72:86" ht="15.75" thickBot="1">
      <c r="BT303" s="731" t="s">
        <v>536</v>
      </c>
      <c r="BU303" s="729">
        <f>+BU302+1</f>
        <v>405</v>
      </c>
      <c r="BV303" s="730">
        <f>VLOOKUP($BU303,$CD$274:$CH$315,3,0)</f>
        <v>0.08</v>
      </c>
      <c r="BW303" s="730">
        <f>VLOOKUP($BU303,$CD$274:$CH$315,4,0)</f>
        <v>0.0831</v>
      </c>
      <c r="BX303" s="730">
        <f>VLOOKUP($BU303,$CD$274:$CH$315,5,0)</f>
        <v>0.0951</v>
      </c>
      <c r="CD303" s="638">
        <f>BT264</f>
        <v>500</v>
      </c>
      <c r="CE303" s="1028" t="str">
        <f>BU264</f>
        <v>Portuárias, Marítimas e Fluviais</v>
      </c>
      <c r="CF303" s="1028"/>
      <c r="CG303" s="1028"/>
      <c r="CH303" s="1028"/>
    </row>
    <row r="304" spans="72:86" ht="15.75" thickBot="1">
      <c r="BT304" s="706"/>
      <c r="BU304" s="651"/>
      <c r="BV304" s="651"/>
      <c r="BW304" s="651"/>
      <c r="BX304" s="707"/>
      <c r="CD304" s="638">
        <f>+CD303+1</f>
        <v>501</v>
      </c>
      <c r="CE304" s="722" t="s">
        <v>533</v>
      </c>
      <c r="CF304" s="723">
        <v>0.04</v>
      </c>
      <c r="CG304" s="723">
        <v>0.0552</v>
      </c>
      <c r="CH304" s="723">
        <v>0.0785</v>
      </c>
    </row>
    <row r="305" spans="82:86" ht="15.75" thickBot="1">
      <c r="CD305" s="638">
        <f>+CD304+1</f>
        <v>502</v>
      </c>
      <c r="CE305" s="717" t="s">
        <v>534</v>
      </c>
      <c r="CF305" s="718">
        <v>0.0081</v>
      </c>
      <c r="CG305" s="718">
        <v>0.0122</v>
      </c>
      <c r="CH305" s="718">
        <v>0.0199</v>
      </c>
    </row>
    <row r="306" spans="82:86" ht="15.75" thickBot="1">
      <c r="CD306" s="638">
        <f>+CD305+1</f>
        <v>503</v>
      </c>
      <c r="CE306" s="717" t="s">
        <v>509</v>
      </c>
      <c r="CF306" s="718">
        <v>0.0146</v>
      </c>
      <c r="CG306" s="718">
        <v>0.0232</v>
      </c>
      <c r="CH306" s="718">
        <v>0.0316</v>
      </c>
    </row>
    <row r="307" spans="82:86" ht="15.75" thickBot="1">
      <c r="CD307" s="638">
        <f>+CD306+1</f>
        <v>504</v>
      </c>
      <c r="CE307" s="717" t="s">
        <v>535</v>
      </c>
      <c r="CF307" s="718">
        <v>0.0094</v>
      </c>
      <c r="CG307" s="718">
        <v>0.0102</v>
      </c>
      <c r="CH307" s="718">
        <v>0.0133</v>
      </c>
    </row>
    <row r="308" spans="74:86" ht="15.75" thickBot="1">
      <c r="BV308" s="732" t="s">
        <v>567</v>
      </c>
      <c r="BW308" s="733" t="s">
        <v>564</v>
      </c>
      <c r="BX308" s="733" t="s">
        <v>568</v>
      </c>
      <c r="CD308" s="638">
        <f>+CD307+1</f>
        <v>505</v>
      </c>
      <c r="CE308" s="717" t="s">
        <v>536</v>
      </c>
      <c r="CF308" s="718">
        <v>0.0714</v>
      </c>
      <c r="CG308" s="718">
        <v>0.084</v>
      </c>
      <c r="CH308" s="718">
        <v>0.1043</v>
      </c>
    </row>
    <row r="309" spans="72:76" ht="15.75" thickBot="1">
      <c r="BT309" s="638">
        <f>BT260</f>
        <v>100</v>
      </c>
      <c r="BU309" s="722" t="str">
        <f aca="true" t="shared" si="2" ref="BU309:BU314">VLOOKUP(BT309,BT260:BU265,2,0)</f>
        <v>Construção de edificios</v>
      </c>
      <c r="BV309" s="723">
        <v>0.2034</v>
      </c>
      <c r="BW309" s="723">
        <v>0.2212</v>
      </c>
      <c r="BX309" s="723">
        <v>0.25</v>
      </c>
    </row>
    <row r="310" spans="72:86" ht="30.75" thickBot="1">
      <c r="BT310" s="638">
        <v>200</v>
      </c>
      <c r="BU310" s="722" t="str">
        <f t="shared" si="2"/>
        <v>Construção de rodovias e ferrovias</v>
      </c>
      <c r="BV310" s="718">
        <v>0.196</v>
      </c>
      <c r="BW310" s="718">
        <v>0.2097</v>
      </c>
      <c r="BX310" s="718">
        <v>0.2423</v>
      </c>
      <c r="CD310" s="638">
        <f>BT265</f>
        <v>600</v>
      </c>
      <c r="CE310" s="1028" t="str">
        <f>BU265</f>
        <v>Fornecimento de Materiais e Equipamentos</v>
      </c>
      <c r="CF310" s="1028"/>
      <c r="CG310" s="1028"/>
      <c r="CH310" s="1028"/>
    </row>
    <row r="311" spans="72:86" ht="60.75" thickBot="1">
      <c r="BT311" s="638">
        <f>BT262</f>
        <v>300</v>
      </c>
      <c r="BU311" s="722" t="str">
        <f t="shared" si="2"/>
        <v>Construção de Redes de Abastecimento de Água, Coleta de Esgoto e Construções Correlatas</v>
      </c>
      <c r="BV311" s="718">
        <v>0.2076</v>
      </c>
      <c r="BW311" s="718">
        <v>0.2418</v>
      </c>
      <c r="BX311" s="718">
        <v>0.2644</v>
      </c>
      <c r="CD311" s="638">
        <f>+CD310+1</f>
        <v>601</v>
      </c>
      <c r="CE311" s="722" t="s">
        <v>533</v>
      </c>
      <c r="CF311" s="723">
        <v>0.015</v>
      </c>
      <c r="CG311" s="723">
        <v>0.0345</v>
      </c>
      <c r="CH311" s="723">
        <v>0.0449</v>
      </c>
    </row>
    <row r="312" spans="72:86" ht="45.75" thickBot="1">
      <c r="BT312" s="638">
        <v>400</v>
      </c>
      <c r="BU312" s="722" t="str">
        <f t="shared" si="2"/>
        <v>Construção e Manutenção de Estações e Redes de Distribuição de Energia Elétrica</v>
      </c>
      <c r="BV312" s="718">
        <v>0.24</v>
      </c>
      <c r="BW312" s="718">
        <v>0.2584</v>
      </c>
      <c r="BX312" s="718">
        <v>0.2786</v>
      </c>
      <c r="CD312" s="638">
        <f>+CD311+1</f>
        <v>602</v>
      </c>
      <c r="CE312" s="717" t="s">
        <v>534</v>
      </c>
      <c r="CF312" s="718">
        <v>0.003</v>
      </c>
      <c r="CG312" s="718">
        <v>0.0048</v>
      </c>
      <c r="CH312" s="718">
        <v>0.0082</v>
      </c>
    </row>
    <row r="313" spans="72:86" ht="15.75" thickBot="1">
      <c r="BT313" s="638">
        <v>500</v>
      </c>
      <c r="BU313" s="722" t="str">
        <f t="shared" si="2"/>
        <v>Portuárias, Marítimas e Fluviais</v>
      </c>
      <c r="BV313" s="718">
        <v>0.228</v>
      </c>
      <c r="BW313" s="718">
        <v>0.2748</v>
      </c>
      <c r="BX313" s="718">
        <v>0.3095</v>
      </c>
      <c r="CD313" s="638">
        <f>+CD312+1</f>
        <v>603</v>
      </c>
      <c r="CE313" s="717" t="s">
        <v>509</v>
      </c>
      <c r="CF313" s="718">
        <v>0.0056</v>
      </c>
      <c r="CG313" s="718">
        <v>0.0085</v>
      </c>
      <c r="CH313" s="718">
        <v>0.0089</v>
      </c>
    </row>
    <row r="314" spans="72:86" ht="30.75" thickBot="1">
      <c r="BT314" s="638">
        <v>600</v>
      </c>
      <c r="BU314" s="722" t="str">
        <f t="shared" si="2"/>
        <v>Fornecimento de Materiais e Equipamentos</v>
      </c>
      <c r="BV314" s="718">
        <v>0.111</v>
      </c>
      <c r="BW314" s="718">
        <v>0.1402</v>
      </c>
      <c r="BX314" s="718">
        <v>0.168</v>
      </c>
      <c r="CD314" s="638">
        <f>+CD313+1</f>
        <v>604</v>
      </c>
      <c r="CE314" s="717" t="s">
        <v>535</v>
      </c>
      <c r="CF314" s="718">
        <v>0.0085</v>
      </c>
      <c r="CG314" s="718">
        <v>0.0085</v>
      </c>
      <c r="CH314" s="718">
        <v>0.0111</v>
      </c>
    </row>
    <row r="315" spans="82:86" ht="15.75" thickBot="1">
      <c r="CD315" s="638">
        <f>+CD314+1</f>
        <v>605</v>
      </c>
      <c r="CE315" s="717" t="s">
        <v>536</v>
      </c>
      <c r="CF315" s="718">
        <v>0.035</v>
      </c>
      <c r="CG315" s="718">
        <v>0.0511</v>
      </c>
      <c r="CH315" s="718">
        <v>0.0622</v>
      </c>
    </row>
  </sheetData>
  <sheetProtection/>
  <mergeCells count="31">
    <mergeCell ref="BT291:BX291"/>
    <mergeCell ref="BT292:BX292"/>
    <mergeCell ref="BT296:BX296"/>
    <mergeCell ref="CE297:CH297"/>
    <mergeCell ref="CE303:CH303"/>
    <mergeCell ref="CE310:CH310"/>
    <mergeCell ref="D60:E60"/>
    <mergeCell ref="BT258:BX258"/>
    <mergeCell ref="CE274:CH274"/>
    <mergeCell ref="CE282:CH282"/>
    <mergeCell ref="BT285:BX285"/>
    <mergeCell ref="BT290:BX290"/>
    <mergeCell ref="CE290:CH290"/>
    <mergeCell ref="B34:F34"/>
    <mergeCell ref="E49:F49"/>
    <mergeCell ref="B51:F51"/>
    <mergeCell ref="B56:F56"/>
    <mergeCell ref="B58:D58"/>
    <mergeCell ref="E58:F58"/>
    <mergeCell ref="D22:F22"/>
    <mergeCell ref="D23:F23"/>
    <mergeCell ref="D27:E27"/>
    <mergeCell ref="B29:F29"/>
    <mergeCell ref="B30:F30"/>
    <mergeCell ref="B33:F33"/>
    <mergeCell ref="B5:F5"/>
    <mergeCell ref="B8:F8"/>
    <mergeCell ref="C10:F10"/>
    <mergeCell ref="B16:F16"/>
    <mergeCell ref="D20:F20"/>
    <mergeCell ref="K20:AV21"/>
  </mergeCells>
  <conditionalFormatting sqref="F36:F40">
    <cfRule type="cellIs" priority="1" dxfId="3" operator="between" stopIfTrue="1">
      <formula>$C36</formula>
      <formula>$E36</formula>
    </cfRule>
  </conditionalFormatting>
  <conditionalFormatting sqref="B56:D60 E56:F57 E59:F60">
    <cfRule type="expression" priority="2" dxfId="2" stopIfTrue="1">
      <formula>OR($F$12="NÃO",$F$12="")</formula>
    </cfRule>
  </conditionalFormatting>
  <conditionalFormatting sqref="E49:F49">
    <cfRule type="expression" priority="3" dxfId="1" stopIfTrue="1">
      <formula>$F$12="SIM"</formula>
    </cfRule>
  </conditionalFormatting>
  <conditionalFormatting sqref="E58:F58">
    <cfRule type="expression" priority="4" dxfId="0" stopIfTrue="1">
      <formula>OR($F$12="NÃO",$F$12="")</formula>
    </cfRule>
  </conditionalFormatting>
  <dataValidations count="5">
    <dataValidation type="decimal" allowBlank="1" showInputMessage="1" showErrorMessage="1" sqref="F42:F43">
      <formula1>C42</formula1>
      <formula2>E42</formula2>
    </dataValidation>
    <dataValidation type="decimal" allowBlank="1" showInputMessage="1" showErrorMessage="1" errorTitle="FORA DO INTERVALO" error="Deve-se adotar valor entre o 1º e 3º quartil" sqref="F36:F40">
      <formula1>C36</formula1>
      <formula2>E36</formula2>
    </dataValidation>
    <dataValidation type="list" allowBlank="1" showInputMessage="1" showErrorMessage="1" sqref="F12">
      <formula1>"SIM, NÃO"</formula1>
    </dataValidation>
    <dataValidation type="list" allowBlank="1" showInputMessage="1" showErrorMessage="1" sqref="C10:F10">
      <formula1>$BU$260:$BU$265</formula1>
    </dataValidation>
    <dataValidation type="list" allowBlank="1" showInputMessage="1" showErrorMessage="1" sqref="E21:F21">
      <formula1>$CE$269:$CE$270</formula1>
    </dataValidation>
  </dataValidations>
  <printOptions gridLines="1" horizontalCentered="1"/>
  <pageMargins left="0.7086614173228347" right="0.7086614173228347" top="1.968503937007874" bottom="0.98425196850393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PRSI_ANTONELLI</dc:creator>
  <cp:keywords/>
  <dc:description/>
  <cp:lastModifiedBy>Mirna</cp:lastModifiedBy>
  <cp:lastPrinted>2019-02-27T19:53:04Z</cp:lastPrinted>
  <dcterms:created xsi:type="dcterms:W3CDTF">2004-08-11T16:55:34Z</dcterms:created>
  <dcterms:modified xsi:type="dcterms:W3CDTF">2019-04-12T16:47:46Z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-1307421206</vt:i4>
  </property>
  <property fmtid="{D5CDD505-2E9C-101B-9397-08002B2CF9AE}" pid="3" name="_EmailSubject">
    <vt:lpwstr>Planilha</vt:lpwstr>
  </property>
  <property fmtid="{D5CDD505-2E9C-101B-9397-08002B2CF9AE}" pid="4" name="_AuthorEmail">
    <vt:lpwstr>wzimipadilha@uol.com.br</vt:lpwstr>
  </property>
  <property fmtid="{D5CDD505-2E9C-101B-9397-08002B2CF9AE}" pid="5" name="_AuthorEmailDisplayName">
    <vt:lpwstr>Willian Zimi Ortega Padilha</vt:lpwstr>
  </property>
  <property fmtid="{D5CDD505-2E9C-101B-9397-08002B2CF9AE}" pid="6" name="_PreviousAdHocReviewCycleID">
    <vt:i4>1176300971</vt:i4>
  </property>
  <property fmtid="{D5CDD505-2E9C-101B-9397-08002B2CF9AE}" pid="7" name="_ReviewingToolsShownOnce">
    <vt:lpwstr/>
  </property>
</Properties>
</file>